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STELLON-CASTELLO\"/>
    </mc:Choice>
  </mc:AlternateContent>
  <workbookProtection workbookAlgorithmName="SHA-512" workbookHashValue="Ebi3vns0sOekuA6Rt25pC1muDQ75xUNhAIZHXI2LNNPquNKLPJyn/AEwsOSv3k1w2B+OnZyzzH3JKpoIkAqfPA==" workbookSaltValue="Y5rZIrX7o/Aai4j7asS9n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G16" i="13" s="1"/>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8" i="2" s="1"/>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8" i="2" s="1"/>
  <c r="N12" i="2"/>
  <c r="N11" i="2"/>
  <c r="N10" i="2"/>
  <c r="N9" i="2"/>
  <c r="M17" i="2"/>
  <c r="M16" i="2"/>
  <c r="M18" i="2" s="1"/>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E9" i="13" s="1"/>
  <c r="BA9" i="13"/>
  <c r="AY9" i="13"/>
  <c r="BC12" i="13"/>
  <c r="BC11" i="13"/>
  <c r="BC10" i="13"/>
  <c r="BB10" i="13"/>
  <c r="BE10" i="13" s="1"/>
  <c r="BA10" i="13"/>
  <c r="AZ10" i="13"/>
  <c r="BG10" i="13" s="1"/>
  <c r="AY10" i="13"/>
  <c r="BC9" i="13"/>
  <c r="BC17" i="13"/>
  <c r="BB17" i="13"/>
  <c r="BB18" i="13" s="1"/>
  <c r="BA17" i="13"/>
  <c r="AZ17" i="13"/>
  <c r="AZ18" i="13" s="1"/>
  <c r="AY17" i="13"/>
  <c r="BC16" i="13"/>
  <c r="BF16" i="13" s="1"/>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G10" i="8" s="1"/>
  <c r="BA10" i="8"/>
  <c r="BB10" i="8"/>
  <c r="BC10" i="8"/>
  <c r="BC11" i="8"/>
  <c r="BC12" i="8"/>
  <c r="BC15" i="8"/>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BD11" i="13"/>
  <c r="E18" i="12"/>
  <c r="ER19" i="8"/>
  <c r="AE13" i="21"/>
  <c r="AE19" i="21" s="1"/>
  <c r="EL19" i="8"/>
  <c r="BE12" i="21"/>
  <c r="BE13" i="21" s="1"/>
  <c r="BE19" i="21" s="1"/>
  <c r="EQ19" i="8"/>
  <c r="EN19" i="8"/>
  <c r="F12" i="21"/>
  <c r="BA13" i="16"/>
  <c r="H10" i="2"/>
  <c r="ES19" i="8"/>
  <c r="BH19" i="13"/>
  <c r="EP19" i="8"/>
  <c r="ER19" i="13"/>
  <c r="AL13" i="16"/>
  <c r="AJ13" i="16"/>
  <c r="EP19" i="19"/>
  <c r="S13" i="16"/>
  <c r="P13" i="16"/>
  <c r="AM13" i="20"/>
  <c r="M13" i="2"/>
  <c r="N13" i="2"/>
  <c r="T13" i="12"/>
  <c r="T13" i="16"/>
  <c r="T13" i="20"/>
  <c r="BF15" i="8"/>
  <c r="AU18" i="21"/>
  <c r="AH13" i="16"/>
  <c r="AP13" i="16"/>
  <c r="T18" i="17"/>
  <c r="BG15" i="13"/>
  <c r="BE15" i="13"/>
  <c r="AX20" i="20"/>
  <c r="S19" i="8" l="1"/>
  <c r="AC19" i="8"/>
  <c r="AL16" i="11"/>
  <c r="C16" i="6"/>
  <c r="D13" i="7"/>
  <c r="C12" i="14"/>
  <c r="K12" i="14" s="1"/>
  <c r="BD15" i="13"/>
  <c r="BE16" i="13"/>
  <c r="BF9" i="8"/>
  <c r="AB13" i="21"/>
  <c r="R8" i="9"/>
  <c r="T17" i="11"/>
  <c r="X10" i="17"/>
  <c r="X13" i="20"/>
  <c r="X17" i="20"/>
  <c r="AA12" i="21"/>
  <c r="L11" i="2"/>
  <c r="V15" i="20"/>
  <c r="V18" i="20" s="1"/>
  <c r="S17" i="14"/>
  <c r="V17" i="14" s="1"/>
  <c r="R12" i="14"/>
  <c r="S9" i="14"/>
  <c r="V9" i="14" s="1"/>
  <c r="T15" i="11"/>
  <c r="AA10" i="16"/>
  <c r="AA15" i="16"/>
  <c r="AA9" i="16"/>
  <c r="V15" i="16"/>
  <c r="AQ13" i="21"/>
  <c r="J18" i="17"/>
  <c r="E13" i="17"/>
  <c r="BE12" i="13"/>
  <c r="H13" i="12"/>
  <c r="BF16" i="8"/>
  <c r="BF12" i="8"/>
  <c r="BD15" i="8"/>
  <c r="AP13" i="17"/>
  <c r="L19" i="8"/>
  <c r="AR18" i="11"/>
  <c r="Z13" i="17"/>
  <c r="AL12" i="11"/>
  <c r="E12" i="6"/>
  <c r="F10" i="2"/>
  <c r="N19" i="19"/>
  <c r="P19" i="19"/>
  <c r="R19" i="19"/>
  <c r="T19" i="19"/>
  <c r="V19" i="19"/>
  <c r="Z19" i="19"/>
  <c r="AB19" i="19"/>
  <c r="AD19" i="19"/>
  <c r="AL19" i="19"/>
  <c r="AR19" i="19"/>
  <c r="I19" i="19"/>
  <c r="CK19" i="19"/>
  <c r="AB19" i="13"/>
  <c r="BB13" i="13"/>
  <c r="BC18" i="13"/>
  <c r="AB19" i="8"/>
  <c r="AR13" i="21"/>
  <c r="AN12" i="11"/>
  <c r="G11" i="3"/>
  <c r="D10" i="6"/>
  <c r="BE17" i="8"/>
  <c r="BD17" i="8"/>
  <c r="BG12" i="8"/>
  <c r="K12" i="7" s="1"/>
  <c r="AY18" i="8"/>
  <c r="BE15" i="8"/>
  <c r="O19" i="8"/>
  <c r="AL15" i="11"/>
  <c r="AP10" i="11"/>
  <c r="BM18" i="16"/>
  <c r="AS19" i="8"/>
  <c r="H18" i="16"/>
  <c r="F11" i="16"/>
  <c r="AC11" i="11"/>
  <c r="N9" i="11"/>
  <c r="G17" i="3"/>
  <c r="G15" i="3"/>
  <c r="I12" i="3"/>
  <c r="I10" i="3"/>
  <c r="AO17" i="11"/>
  <c r="I18" i="2"/>
  <c r="H17" i="2"/>
  <c r="T10" i="21"/>
  <c r="V10" i="21" s="1"/>
  <c r="BB19" i="19"/>
  <c r="EL19" i="19"/>
  <c r="U19" i="19"/>
  <c r="AQ19" i="19"/>
  <c r="ER19" i="19"/>
  <c r="AQ19" i="13"/>
  <c r="AO19" i="13"/>
  <c r="AM19" i="13"/>
  <c r="AE19" i="13"/>
  <c r="BE17" i="13"/>
  <c r="I19" i="8"/>
  <c r="BE9" i="8"/>
  <c r="I9" i="7" s="1"/>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I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8" i="13"/>
  <c r="BF15" i="13"/>
  <c r="BA13" i="13"/>
  <c r="AZ13" i="13"/>
  <c r="BG9" i="13"/>
  <c r="BG11" i="13"/>
  <c r="BC13" i="13"/>
  <c r="BD12" i="13"/>
  <c r="AY13" i="8"/>
  <c r="B15" i="6"/>
  <c r="AO17" i="17"/>
  <c r="D17" i="6"/>
  <c r="J17" i="12" s="1"/>
  <c r="AL19" i="8"/>
  <c r="AJ19" i="8"/>
  <c r="Z19" i="8"/>
  <c r="T19" i="8"/>
  <c r="AA19" i="8"/>
  <c r="W19" i="8"/>
  <c r="U19" i="8"/>
  <c r="BE10" i="8"/>
  <c r="C11" i="6"/>
  <c r="J12" i="2"/>
  <c r="F12" i="11"/>
  <c r="AQ12" i="11" s="1"/>
  <c r="AK19" i="8"/>
  <c r="AC19" i="17"/>
  <c r="F16" i="17"/>
  <c r="F15" i="17"/>
  <c r="AQ15" i="17" s="1"/>
  <c r="AV13" i="17"/>
  <c r="AV18" i="17"/>
  <c r="AT18" i="17"/>
  <c r="W18" i="16"/>
  <c r="C15" i="14"/>
  <c r="K15" i="14" s="1"/>
  <c r="F9" i="12"/>
  <c r="E9" i="12"/>
  <c r="Y11" i="11"/>
  <c r="F11" i="11"/>
  <c r="AQ11" i="11" s="1"/>
  <c r="Y12" i="11"/>
  <c r="AP15" i="11"/>
  <c r="AC17" i="11"/>
  <c r="AC10" i="11"/>
  <c r="D16" i="6"/>
  <c r="J12" i="7"/>
  <c r="G12" i="3"/>
  <c r="G10" i="3"/>
  <c r="I16" i="3"/>
  <c r="E12" i="3"/>
  <c r="F16" i="10"/>
  <c r="J17" i="10"/>
  <c r="L17" i="10" s="1"/>
  <c r="AO11" i="11"/>
  <c r="F12" i="2"/>
  <c r="AO12" i="11"/>
  <c r="B11" i="6"/>
  <c r="L11" i="14"/>
  <c r="D9" i="6"/>
  <c r="J9" i="12" s="1"/>
  <c r="G13" i="2"/>
  <c r="J9" i="7"/>
  <c r="L9" i="14"/>
  <c r="G18" i="2"/>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H20" i="20"/>
  <c r="Z20" i="20"/>
  <c r="T20" i="21"/>
  <c r="AJ20" i="20"/>
  <c r="AV20" i="20"/>
  <c r="AE20" i="20"/>
  <c r="AB20" i="20"/>
  <c r="Y20" i="20"/>
  <c r="I20" i="20"/>
  <c r="W20" i="21"/>
  <c r="AZ20" i="20"/>
  <c r="J20" i="20"/>
  <c r="R20" i="20"/>
  <c r="U10" i="11"/>
  <c r="U16" i="11"/>
  <c r="AM20" i="20"/>
  <c r="G13" i="14"/>
  <c r="X20" i="20"/>
  <c r="P20" i="20"/>
  <c r="L20" i="20"/>
  <c r="AN20" i="20"/>
  <c r="M20" i="20"/>
  <c r="AO20" i="20"/>
  <c r="AA20" i="20"/>
  <c r="N20" i="20"/>
  <c r="G18" i="14"/>
  <c r="J18" i="2" l="1"/>
  <c r="I11" i="12"/>
  <c r="X12" i="21"/>
  <c r="T9" i="11"/>
  <c r="BF11" i="11"/>
  <c r="BH11" i="16"/>
  <c r="BL9" i="11"/>
  <c r="BH17" i="16"/>
  <c r="BG10" i="11"/>
  <c r="BM16" i="11"/>
  <c r="P17" i="17"/>
  <c r="BL17" i="11"/>
  <c r="BK12" i="11"/>
  <c r="BF10" i="11"/>
  <c r="BK9" i="11"/>
  <c r="BK13" i="11" s="1"/>
  <c r="X11" i="17"/>
  <c r="BK11" i="11"/>
  <c r="V11" i="11"/>
  <c r="AP10" i="21"/>
  <c r="BM12" i="11"/>
  <c r="BH9" i="11"/>
  <c r="BI15" i="11"/>
  <c r="BJ15" i="11"/>
  <c r="BJ12" i="11"/>
  <c r="AP15" i="20"/>
  <c r="BG15" i="11"/>
  <c r="R17" i="20"/>
  <c r="R18" i="20" s="1"/>
  <c r="BK17" i="11"/>
  <c r="AZ9" i="11"/>
  <c r="AP17" i="20"/>
  <c r="AZ15" i="11"/>
  <c r="AZ18" i="11" s="1"/>
  <c r="BU11" i="17"/>
  <c r="BV17" i="16"/>
  <c r="BU10" i="17"/>
  <c r="BV12" i="16"/>
  <c r="BW12" i="20"/>
  <c r="BV11" i="16"/>
  <c r="BW11" i="20"/>
  <c r="U10" i="17"/>
  <c r="BW10" i="20"/>
  <c r="V12" i="16"/>
  <c r="BU16" i="17"/>
  <c r="BV9" i="16"/>
  <c r="AA17" i="16"/>
  <c r="AZ12" i="11"/>
  <c r="T16" i="11"/>
  <c r="BG12" i="11"/>
  <c r="Q17" i="17"/>
  <c r="BH10" i="11"/>
  <c r="BI9" i="11"/>
  <c r="AQ10" i="21"/>
  <c r="S10" i="17"/>
  <c r="BH10" i="16"/>
  <c r="Q15" i="17"/>
  <c r="Q18" i="17" s="1"/>
  <c r="Q19" i="17" s="1"/>
  <c r="BM17" i="11"/>
  <c r="BF15" i="11"/>
  <c r="BH16" i="11"/>
  <c r="BH18" i="11" s="1"/>
  <c r="AQ12" i="21"/>
  <c r="BJ16" i="11"/>
  <c r="BL16" i="11"/>
  <c r="L10" i="2"/>
  <c r="L15" i="2"/>
  <c r="L16" i="2"/>
  <c r="X10" i="21"/>
  <c r="U9" i="17"/>
  <c r="U19" i="17" s="1"/>
  <c r="L9" i="2"/>
  <c r="V9" i="16"/>
  <c r="BH9" i="16"/>
  <c r="BJ17" i="11"/>
  <c r="BH15" i="16"/>
  <c r="V11" i="16"/>
  <c r="BF16" i="11"/>
  <c r="BL12" i="11"/>
  <c r="V12" i="21"/>
  <c r="S9" i="17"/>
  <c r="BI10" i="11"/>
  <c r="V9" i="11"/>
  <c r="R10" i="21"/>
  <c r="R13" i="21" s="1"/>
  <c r="R19" i="21" s="1"/>
  <c r="BG9" i="11"/>
  <c r="BH17" i="11"/>
  <c r="T17" i="16"/>
  <c r="BU15" i="17"/>
  <c r="BW17" i="20"/>
  <c r="BW16" i="20"/>
  <c r="BW15" i="20"/>
  <c r="BV10" i="16"/>
  <c r="S11" i="17"/>
  <c r="AZ11" i="11"/>
  <c r="S15" i="16"/>
  <c r="BF12" i="11"/>
  <c r="BL10" i="11"/>
  <c r="BK16" i="11"/>
  <c r="BG16" i="11"/>
  <c r="P16" i="11" s="1"/>
  <c r="BM9" i="11"/>
  <c r="BK10" i="11"/>
  <c r="S15" i="17"/>
  <c r="S16" i="17"/>
  <c r="L17" i="2"/>
  <c r="V10" i="16"/>
  <c r="AP16" i="20"/>
  <c r="V15" i="11"/>
  <c r="BH15" i="11"/>
  <c r="Q17" i="20"/>
  <c r="Q18" i="20" s="1"/>
  <c r="BF17" i="11"/>
  <c r="S17" i="16"/>
  <c r="V17" i="16"/>
  <c r="BK15" i="11"/>
  <c r="AZ17" i="11"/>
  <c r="Q10" i="21"/>
  <c r="Q13" i="21" s="1"/>
  <c r="Q19" i="21" s="1"/>
  <c r="BJ11" i="11"/>
  <c r="BI17" i="11"/>
  <c r="BL11" i="11"/>
  <c r="BM15" i="11"/>
  <c r="Q15" i="11" s="1"/>
  <c r="T15" i="16"/>
  <c r="BW9" i="20"/>
  <c r="BV16" i="16"/>
  <c r="BV15" i="16"/>
  <c r="BU9" i="17"/>
  <c r="BU17" i="17"/>
  <c r="BU12" i="17"/>
  <c r="AZ16" i="11"/>
  <c r="X17" i="17"/>
  <c r="P15" i="17"/>
  <c r="P18" i="17" s="1"/>
  <c r="P19" i="17" s="1"/>
  <c r="BL15" i="11"/>
  <c r="BJ10" i="11"/>
  <c r="BH11" i="11"/>
  <c r="S17" i="17"/>
  <c r="BH12" i="16"/>
  <c r="L12" i="2"/>
  <c r="X15" i="16"/>
  <c r="X18" i="16" s="1"/>
  <c r="T12" i="11"/>
  <c r="R17" i="14"/>
  <c r="S16" i="14"/>
  <c r="V16" i="14" s="1"/>
  <c r="AM16" i="11"/>
  <c r="AO16" i="17"/>
  <c r="AO12" i="17"/>
  <c r="AP13" i="20"/>
  <c r="X12" i="16"/>
  <c r="AA11" i="16"/>
  <c r="X15" i="17"/>
  <c r="X12" i="17"/>
  <c r="AA16" i="16"/>
  <c r="S15" i="14"/>
  <c r="V15" i="14" s="1"/>
  <c r="R16" i="14"/>
  <c r="R10" i="14"/>
  <c r="S10" i="14"/>
  <c r="V10" i="14" s="1"/>
  <c r="X9" i="16"/>
  <c r="X19" i="16" s="1"/>
  <c r="X16" i="20"/>
  <c r="U10" i="21"/>
  <c r="T17" i="20"/>
  <c r="X9" i="17"/>
  <c r="X16" i="17"/>
  <c r="S11" i="14"/>
  <c r="V11" i="14" s="1"/>
  <c r="T11" i="11"/>
  <c r="AM15" i="11"/>
  <c r="R11" i="14"/>
  <c r="S12" i="14"/>
  <c r="V12" i="14" s="1"/>
  <c r="V13" i="14" s="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B19" i="7" s="1"/>
  <c r="J17" i="7"/>
  <c r="BA13" i="8"/>
  <c r="BG9" i="8"/>
  <c r="K9" i="7" s="1"/>
  <c r="AO10" i="17"/>
  <c r="AM9" i="11"/>
  <c r="B12" i="6"/>
  <c r="J12" i="12"/>
  <c r="E13" i="2"/>
  <c r="F13" i="2" s="1"/>
  <c r="I12" i="7"/>
  <c r="I13" i="2"/>
  <c r="AM13" i="11" s="1"/>
  <c r="L12" i="14"/>
  <c r="AO9" i="11"/>
  <c r="AL11" i="11"/>
  <c r="H11" i="7"/>
  <c r="F9" i="2"/>
  <c r="AL9" i="11"/>
  <c r="AO9" i="17"/>
  <c r="AI19" i="8"/>
  <c r="E16" i="6"/>
  <c r="AN10" i="11"/>
  <c r="E15" i="6"/>
  <c r="K15" i="12" s="1"/>
  <c r="X19" i="8"/>
  <c r="F11" i="10"/>
  <c r="J11" i="10"/>
  <c r="L11" i="10" s="1"/>
  <c r="I12" i="12"/>
  <c r="E11" i="12"/>
  <c r="BG16" i="8"/>
  <c r="K16" i="7" s="1"/>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I17" i="12" s="1"/>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N19" i="21" s="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AI19" i="11" s="1"/>
  <c r="F12" i="12"/>
  <c r="F16" i="11"/>
  <c r="AU13" i="11"/>
  <c r="AP17" i="11"/>
  <c r="AT13" i="11"/>
  <c r="AV13" i="11"/>
  <c r="AV18" i="11"/>
  <c r="AX21" i="11"/>
  <c r="R13" i="11"/>
  <c r="Z13" i="11"/>
  <c r="AA13" i="11"/>
  <c r="AC12" i="11"/>
  <c r="AB18" i="11"/>
  <c r="AD13" i="11"/>
  <c r="AF18" i="11"/>
  <c r="AF13" i="11"/>
  <c r="I13" i="11"/>
  <c r="I18" i="11"/>
  <c r="J18" i="11"/>
  <c r="N12" i="1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H13" i="2"/>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Z10" i="11"/>
  <c r="AT18" i="11"/>
  <c r="M13" i="11"/>
  <c r="L13" i="11"/>
  <c r="AP16" i="11"/>
  <c r="Z18" i="11"/>
  <c r="AB13" i="11"/>
  <c r="W18" i="11"/>
  <c r="Y16" i="11"/>
  <c r="X18" i="11"/>
  <c r="AC9" i="11"/>
  <c r="H13" i="11"/>
  <c r="E13" i="12" s="1"/>
  <c r="S18" i="11"/>
  <c r="H18" i="11"/>
  <c r="X13" i="11"/>
  <c r="AA18" i="11"/>
  <c r="M18" i="11"/>
  <c r="C16" i="14"/>
  <c r="K16" i="14" s="1"/>
  <c r="AV19" i="17"/>
  <c r="J16" i="7"/>
  <c r="J16" i="12"/>
  <c r="F18" i="3"/>
  <c r="G18" i="3" s="1"/>
  <c r="H13" i="3"/>
  <c r="AN18" i="11"/>
  <c r="BF18" i="11"/>
  <c r="K12" i="12"/>
  <c r="AJ18" i="11"/>
  <c r="D18" i="5"/>
  <c r="F16" i="2"/>
  <c r="H16" i="2"/>
  <c r="J16" i="2"/>
  <c r="F13" i="3"/>
  <c r="E9" i="3"/>
  <c r="G9" i="3"/>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K19" i="19"/>
  <c r="AQ19" i="20" s="1"/>
  <c r="O19" i="19"/>
  <c r="W19" i="19"/>
  <c r="AE19" i="19"/>
  <c r="BH19" i="19"/>
  <c r="BC21" i="20"/>
  <c r="AC13" i="21"/>
  <c r="AC21"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D19" i="12"/>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AM18" i="11"/>
  <c r="BH12" i="1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AV20" i="21"/>
  <c r="T20" i="20"/>
  <c r="U17" i="11"/>
  <c r="P12" i="11" l="1"/>
  <c r="G19" i="7"/>
  <c r="AL19" i="21"/>
  <c r="U13" i="17"/>
  <c r="R19" i="20"/>
  <c r="AO13" i="17"/>
  <c r="Q12" i="11"/>
  <c r="P15" i="11"/>
  <c r="BV18" i="16"/>
  <c r="T18" i="16"/>
  <c r="T19" i="16" s="1"/>
  <c r="P9" i="11"/>
  <c r="BK18" i="11"/>
  <c r="BV13" i="16"/>
  <c r="Q16" i="11"/>
  <c r="BW21" i="20"/>
  <c r="P17" i="11"/>
  <c r="BF13" i="8"/>
  <c r="BE13" i="8"/>
  <c r="AL13" i="11"/>
  <c r="B13" i="6"/>
  <c r="BU21" i="17"/>
  <c r="BK19" i="11"/>
  <c r="BH13" i="11"/>
  <c r="S18" i="16"/>
  <c r="S19" i="16" s="1"/>
  <c r="AZ13" i="11"/>
  <c r="AZ19" i="11"/>
  <c r="BJ18" i="11"/>
  <c r="Q9" i="11"/>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H20" i="17"/>
  <c r="BR20" i="16"/>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L20" i="21"/>
  <c r="O20" i="16"/>
  <c r="F20" i="17"/>
  <c r="AH20" i="11"/>
  <c r="AI20" i="16"/>
  <c r="M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BH20" i="16"/>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Z20" i="17"/>
  <c r="BA20" i="16"/>
  <c r="O12" i="11"/>
  <c r="BD19" i="8" l="1"/>
  <c r="F21" i="11"/>
  <c r="BM19" i="11"/>
  <c r="BG19" i="11"/>
  <c r="G19" i="3"/>
  <c r="BV21" i="16"/>
  <c r="BV19" i="16"/>
  <c r="Q13" i="11"/>
  <c r="BG19" i="8"/>
  <c r="H19" i="2"/>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<sst xmlns="http://schemas.openxmlformats.org/spreadsheetml/2006/main" count="2102" uniqueCount="918">
  <si>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</si>
  <si>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</si>
  <si>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</si>
  <si>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</si>
  <si>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</si>
  <si>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</si>
  <si>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</si>
  <si>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</si>
  <si>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</si>
  <si>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</si>
  <si>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</si>
  <si>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</si>
  <si>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</si>
  <si>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</si>
  <si>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</si>
  <si>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</si>
  <si>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</si>
  <si>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</si>
  <si>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</si>
  <si>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</si>
  <si>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</si>
  <si>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</si>
  <si>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</si>
  <si>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</si>
  <si>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</si>
  <si>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</si>
  <si>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</si>
  <si>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</si>
  <si>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</si>
  <si>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</si>
  <si>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</si>
  <si>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</si>
  <si>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</si>
  <si>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</si>
  <si>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</si>
  <si>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</si>
  <si>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</si>
  <si>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</si>
  <si>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</si>
  <si>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</si>
  <si>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</si>
  <si>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</si>
  <si>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</si>
  <si>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</si>
  <si>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</si>
  <si>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</si>
  <si>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</si>
  <si>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</si>
  <si>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</si>
  <si>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</si>
  <si>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</si>
  <si>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</si>
  <si>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</si>
  <si>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</si>
  <si>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</si>
  <si>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</si>
  <si>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</si>
  <si>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</si>
  <si>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</si>
  <si>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</si>
  <si>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</si>
  <si>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</si>
  <si>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</si>
  <si>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</si>
  <si>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</si>
  <si>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</si>
  <si>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</si>
  <si>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</si>
  <si>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</si>
  <si>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</si>
  <si>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</si>
  <si>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</si>
  <si>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</si>
  <si>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</si>
  <si>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</si>
  <si>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</si>
  <si>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</si>
  <si>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</si>
  <si>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</si>
  <si>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</si>
  <si>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</si>
  <si>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</si>
  <si>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</si>
  <si>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</si>
  <si>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</si>
  <si>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</si>
  <si>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</si>
  <si>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</si>
  <si>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</si>
  <si>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</si>
  <si>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</si>
  <si>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</si>
  <si>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</si>
  <si>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</si>
  <si>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</si>
  <si>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</si>
  <si>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</si>
  <si>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</si>
  <si>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</si>
  <si>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</si>
  <si>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</si>
  <si>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</si>
  <si>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</si>
  <si>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</si>
  <si>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</si>
  <si>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</si>
  <si>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</si>
  <si>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</si>
  <si>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</si>
  <si>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</si>
  <si>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</si>
  <si>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</si>
  <si>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</si>
  <si>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</si>
  <si>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</si>
  <si>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</si>
  <si>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</si>
  <si>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</si>
  <si>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</si>
  <si>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</si>
  <si>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</si>
  <si>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</si>
  <si>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</si>
  <si>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</si>
  <si>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</si>
  <si>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</si>
  <si>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</si>
  <si>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</si>
  <si>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</si>
  <si>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</si>
  <si>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</si>
  <si>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</si>
  <si>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</si>
  <si>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</si>
  <si>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</si>
  <si>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</si>
  <si>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</si>
  <si>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</si>
  <si>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</si>
  <si>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</si>
  <si>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</si>
  <si>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</si>
  <si>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</si>
  <si>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</si>
  <si>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</si>
  <si>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</si>
  <si>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</si>
  <si>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</si>
  <si>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</si>
  <si>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</si>
  <si>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</si>
  <si>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</si>
  <si>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</si>
  <si>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</si>
  <si>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</si>
  <si>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</si>
  <si>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</si>
  <si>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</si>
  <si>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</si>
  <si>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</si>
  <si>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</si>
  <si>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</si>
  <si>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</si>
  <si>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</si>
  <si>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</si>
  <si>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</si>
  <si>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</si>
  <si>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</si>
  <si>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</si>
  <si>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</si>
  <si>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</si>
  <si>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</si>
  <si>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</si>
  <si>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</si>
  <si>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</si>
  <si>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</si>
  <si>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</si>
  <si>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</si>
  <si>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</si>
  <si>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</si>
  <si>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</si>
  <si>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</si>
  <si>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</si>
  <si>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</si>
  <si>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</si>
  <si>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</si>
  <si>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</si>
  <si>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</si>
  <si>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</si>
  <si>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</si>
  <si>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</si>
  <si>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</si>
  <si>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</si>
  <si>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</si>
  <si>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</si>
  <si>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</si>
  <si>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</si>
  <si>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</si>
  <si>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</si>
  <si>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</si>
  <si>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</si>
  <si>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</si>
  <si>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</si>
  <si>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</si>
  <si>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</si>
  <si>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</si>
  <si>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</si>
  <si>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</si>
  <si>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</si>
  <si>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</si>
  <si>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</si>
  <si>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</si>
  <si>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</si>
  <si>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</si>
  <si>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</si>
  <si>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</si>
  <si>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</si>
  <si>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</si>
  <si>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</si>
  <si>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</si>
  <si>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</si>
  <si>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</si>
  <si>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</si>
  <si>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</si>
  <si>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</si>
  <si>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</si>
  <si>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</si>
  <si>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</si>
  <si>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</si>
  <si>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</si>
  <si>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</si>
  <si>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</si>
  <si>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</si>
  <si>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</si>
  <si>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</si>
  <si>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</si>
  <si>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</si>
  <si>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</si>
  <si>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</si>
  <si>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</si>
  <si>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</si>
  <si>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</si>
  <si>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</si>
  <si>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</si>
  <si>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</si>
  <si>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</si>
  <si>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</si>
  <si>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</si>
  <si>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</si>
  <si>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</si>
  <si>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</si>
  <si>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</si>
  <si>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</si>
  <si>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</si>
  <si>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</si>
  <si>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</si>
  <si>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</si>
  <si>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</si>
  <si>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</si>
  <si>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</si>
  <si>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</si>
  <si>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</si>
  <si>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</si>
  <si>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</si>
  <si>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</si>
  <si>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</si>
  <si>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</si>
  <si>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</si>
  <si>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</si>
  <si>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</si>
  <si>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</si>
  <si>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</si>
  <si>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</si>
  <si>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</si>
  <si>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</si>
  <si>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</si>
  <si>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</si>
  <si>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</si>
  <si>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</si>
  <si>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</si>
  <si>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</si>
  <si>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</si>
  <si>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</si>
  <si>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</si>
  <si>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</si>
  <si>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</si>
  <si>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</si>
  <si>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</si>
  <si>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</si>
  <si>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</si>
  <si>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</si>
  <si>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</si>
  <si>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</si>
  <si>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</si>
  <si>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</si>
  <si>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</si>
  <si>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</si>
  <si>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</si>
  <si>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</si>
  <si>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</si>
  <si>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</si>
  <si>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</si>
  <si>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</si>
  <si>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</si>
  <si>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</si>
  <si>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</si>
  <si>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</si>
  <si>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</si>
  <si>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</si>
  <si>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</si>
  <si>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</si>
  <si>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</si>
  <si>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</si>
  <si>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</si>
  <si>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</si>
  <si>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</si>
  <si>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</si>
  <si>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</si>
  <si>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</si>
  <si>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</si>
  <si>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</si>
  <si>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</si>
  <si>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</si>
  <si>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</si>
  <si>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</si>
  <si>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</si>
  <si>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</si>
  <si>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</si>
  <si>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</si>
  <si>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</si>
  <si>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</si>
  <si>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</si>
  <si>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</si>
  <si>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</si>
  <si>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</si>
  <si>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</si>
  <si>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</si>
  <si>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</si>
  <si>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</si>
  <si>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</si>
  <si>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</si>
  <si>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</si>
  <si>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</si>
  <si>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</si>
  <si>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</si>
  <si>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</si>
  <si>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</si>
  <si>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</si>
  <si>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</si>
  <si>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</si>
  <si>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</si>
  <si>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</si>
  <si>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</si>
  <si>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</si>
  <si>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</si>
  <si>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</si>
  <si>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</si>
  <si>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</si>
  <si>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</si>
  <si>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</si>
  <si>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</si>
  <si>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</si>
  <si>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</si>
  <si>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</si>
  <si>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</si>
  <si>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</si>
  <si>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</si>
  <si>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</si>
  <si>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</si>
  <si>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</si>
  <si>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</si>
  <si>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</si>
  <si>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</si>
  <si>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</si>
  <si>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</si>
  <si>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</si>
  <si>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</si>
  <si>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</si>
  <si>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</si>
  <si>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</si>
  <si>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</si>
  <si>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</si>
  <si>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</si>
  <si>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</si>
  <si>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</si>
  <si>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</si>
  <si>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</si>
  <si>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</si>
  <si>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</si>
  <si>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</si>
  <si>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</si>
  <si>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</si>
  <si>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</si>
  <si>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</si>
  <si>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</si>
  <si>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</si>
  <si>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</si>
  <si>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</si>
  <si>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</si>
  <si>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</si>
  <si>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</si>
  <si>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</si>
  <si>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</si>
  <si>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</si>
  <si>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</si>
  <si>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</si>
  <si>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</si>
  <si>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</si>
  <si>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</si>
  <si>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</si>
  <si>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</si>
  <si>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</si>
  <si>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</si>
  <si>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</si>
  <si>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</si>
  <si>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</si>
  <si>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</si>
  <si>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</si>
  <si>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</si>
  <si>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</si>
  <si>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</si>
  <si>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</si>
  <si>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</si>
  <si>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</si>
  <si>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</si>
  <si>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</si>
  <si>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</si>
  <si>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</si>
  <si>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</si>
  <si>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</si>
  <si>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</si>
  <si>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</si>
  <si>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</si>
  <si>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</si>
  <si>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</si>
  <si>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</si>
  <si>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</si>
  <si>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</si>
  <si>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</si>
  <si>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</si>
  <si>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</si>
  <si>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</si>
  <si>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</si>
  <si>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</si>
  <si>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</si>
  <si>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</si>
  <si>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</si>
  <si>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</si>
  <si>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</si>
  <si>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</si>
  <si>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</si>
  <si>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</si>
  <si>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</si>
  <si>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</si>
  <si>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</si>
  <si>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</si>
  <si>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</si>
  <si>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</si>
  <si>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</si>
  <si>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</si>
  <si>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</si>
  <si>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</si>
  <si>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</si>
  <si>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</si>
  <si>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</si>
  <si>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</si>
  <si>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</si>
  <si>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</si>
  <si>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</si>
  <si>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</si>
  <si>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</si>
  <si>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</si>
  <si>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</si>
  <si>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</si>
  <si>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</si>
  <si>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</si>
  <si>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</si>
  <si>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</si>
  <si>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</si>
  <si>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</si>
  <si>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</si>
  <si>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</si>
  <si>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</si>
  <si>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</si>
  <si>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</si>
  <si>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</si>
  <si>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</si>
  <si>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</si>
  <si>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</si>
  <si>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</si>
  <si>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</si>
  <si>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</si>
  <si>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</si>
  <si>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</si>
  <si>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</si>
  <si>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</si>
  <si>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</si>
  <si>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</si>
  <si>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</si>
  <si>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</si>
  <si>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</si>
  <si>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</si>
  <si>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</si>
  <si>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</si>
  <si>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</si>
  <si>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</si>
  <si>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</si>
  <si>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</si>
  <si>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</si>
  <si>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</si>
  <si>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</si>
  <si>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</si>
  <si>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</si>
  <si>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</si>
  <si>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</si>
  <si>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</si>
  <si>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</si>
  <si>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</si>
  <si>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</si>
  <si>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</si>
  <si>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</si>
  <si>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</si>
  <si>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</si>
  <si>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</si>
  <si>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</si>
  <si>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</si>
  <si>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</si>
  <si>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</si>
  <si>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</si>
  <si>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</si>
  <si>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</si>
  <si>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</si>
  <si>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</si>
  <si>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</si>
  <si>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</si>
  <si>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</si>
  <si>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</si>
  <si>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</si>
  <si>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</si>
  <si>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</si>
  <si>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</si>
  <si>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</si>
  <si>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</si>
  <si>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</si>
  <si>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</si>
  <si>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</si>
  <si>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</si>
  <si>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</si>
  <si>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</si>
  <si>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</si>
  <si>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</si>
  <si>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</si>
  <si>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</si>
  <si>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</si>
  <si>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</si>
  <si>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</si>
  <si>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</si>
  <si>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</si>
  <si>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</si>
  <si>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</si>
  <si>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</si>
  <si>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</si>
  <si>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</si>
  <si>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</si>
  <si>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</si>
  <si>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</si>
  <si>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</si>
  <si>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</si>
  <si>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</si>
  <si>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</si>
  <si>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</si>
  <si>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</si>
  <si>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</si>
  <si>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</si>
  <si>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</si>
  <si>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</si>
  <si>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</si>
  <si>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</si>
  <si>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</si>
  <si>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</si>
  <si>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</si>
  <si>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</si>
  <si>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</si>
  <si>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</si>
  <si>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</si>
  <si>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</si>
  <si>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</si>
  <si>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</si>
  <si>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</si>
  <si>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</si>
  <si>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</si>
  <si>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</si>
  <si>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</si>
  <si>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</si>
  <si>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</si>
  <si>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</si>
  <si>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</si>
  <si>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</si>
  <si>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</si>
  <si>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</si>
  <si>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</si>
  <si>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</si>
  <si>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</si>
  <si>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</si>
  <si>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</si>
  <si>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</si>
  <si>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</si>
  <si>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</si>
  <si>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</si>
  <si>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</si>
  <si>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</si>
  <si>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</si>
  <si>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</si>
  <si>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</si>
  <si>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</si>
  <si>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</si>
  <si>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</si>
  <si>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</si>
  <si>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</si>
  <si>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</si>
  <si>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</si>
  <si>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</si>
  <si>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</si>
  <si>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</si>
  <si>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</si>
  <si>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</si>
  <si>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</si>
  <si>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</si>
  <si>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</si>
  <si>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</si>
  <si>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</si>
  <si>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</si>
  <si>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</si>
  <si>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</si>
  <si>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</si>
  <si>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</si>
  <si>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</si>
  <si>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</si>
  <si>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</si>
  <si>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</si>
  <si>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</si>
  <si>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</si>
  <si>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</si>
  <si>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</si>
  <si>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</si>
  <si>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</si>
  <si>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</si>
  <si>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</si>
  <si>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</si>
  <si>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</si>
  <si>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</si>
  <si>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</si>
  <si>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</si>
  <si>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</si>
  <si>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</si>
  <si>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</si>
  <si>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</si>
  <si>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</si>
  <si>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</si>
  <si>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</si>
  <si>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</si>
  <si>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</si>
  <si>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</si>
  <si>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</si>
  <si>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</si>
  <si>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</si>
  <si>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</si>
  <si>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</si>
  <si>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</si>
  <si>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</si>
  <si>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</si>
  <si>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</si>
  <si>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</si>
  <si>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</si>
  <si>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</si>
  <si>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</si>
  <si>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</si>
  <si>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</si>
  <si>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</si>
  <si>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</si>
  <si>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</si>
  <si>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</si>
  <si>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</si>
  <si>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</si>
  <si>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</si>
  <si>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</si>
  <si>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</si>
  <si>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</si>
  <si>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</si>
  <si>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</si>
  <si>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</si>
  <si>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</si>
  <si>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</si>
  <si>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</si>
  <si>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</si>
  <si>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</si>
  <si>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</si>
  <si>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</si>
  <si>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</si>
  <si>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</si>
  <si>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</si>
  <si>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</si>
  <si>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</si>
  <si>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</si>
  <si>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</si>
  <si>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</si>
  <si>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</si>
  <si>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</si>
  <si>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</si>
  <si>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</si>
  <si>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</si>
  <si>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</si>
  <si>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</si>
  <si>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</si>
  <si>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</si>
  <si>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</si>
  <si>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</si>
  <si>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</si>
  <si>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</si>
  <si>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</si>
  <si>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</si>
  <si>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</si>
  <si>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</si>
  <si>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</si>
  <si>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</si>
  <si>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</si>
  <si>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</si>
  <si>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</si>
  <si>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</si>
  <si>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</si>
  <si>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</si>
  <si>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</si>
  <si>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</si>
  <si>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</si>
  <si>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</si>
  <si>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</si>
  <si>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</si>
  <si>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</si>
  <si>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</si>
  <si>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</si>
  <si>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</si>
  <si>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</si>
  <si>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</si>
  <si>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</si>
  <si>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</si>
  <si>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</si>
  <si>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</si>
  <si>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</si>
  <si>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</si>
  <si>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</si>
  <si>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</si>
  <si>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</si>
  <si>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</si>
  <si>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</si>
  <si>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</si>
  <si>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</si>
  <si>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</si>
  <si>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</si>
  <si>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</si>
  <si>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</si>
  <si>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</si>
  <si>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</si>
  <si>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</si>
  <si>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</si>
  <si>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</si>
  <si>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</si>
  <si>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</si>
  <si>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</si>
  <si>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</si>
  <si>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</si>
  <si>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</si>
  <si>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</si>
  <si>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</si>
  <si>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</si>
  <si>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</si>
  <si>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</si>
  <si>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</si>
  <si>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</si>
  <si>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</si>
  <si>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</si>
  <si>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</si>
  <si>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</si>
  <si>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</si>
  <si>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</si>
  <si>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</si>
  <si>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</si>
  <si>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</si>
  <si>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</si>
  <si>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</si>
  <si>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</si>
  <si>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</si>
  <si>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</si>
  <si>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</si>
  <si>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</si>
  <si>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</si>
  <si>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</si>
  <si>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</si>
  <si>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</si>
  <si>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</si>
  <si>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</si>
  <si>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</si>
  <si>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</si>
  <si>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</si>
  <si>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</si>
  <si>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</si>
  <si>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</si>
  <si>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</si>
  <si>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</si>
  <si>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</si>
  <si>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</si>
  <si>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</si>
  <si>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</si>
  <si>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</si>
  <si>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</si>
  <si>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</si>
  <si>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</si>
  <si>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</si>
  <si>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</si>
  <si>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</si>
  <si>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</si>
  <si>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</si>
  <si>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</si>
  <si>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</si>
  <si>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</si>
  <si>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</si>
  <si>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</si>
  <si>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</si>
  <si>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</si>
  <si>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</si>
  <si>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</si>
  <si>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</si>
  <si>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</si>
  <si>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</si>
  <si>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</si>
  <si>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</si>
  <si>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</si>
  <si>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</si>
  <si>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</si>
  <si>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</si>
  <si>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</si>
  <si>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</si>
  <si>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</si>
  <si>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</si>
  <si>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</si>
  <si>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</si>
  <si>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</si>
  <si>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</si>
  <si>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</si>
  <si>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</si>
  <si>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</si>
  <si>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</si>
  <si>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</si>
  <si>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</si>
  <si>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</si>
  <si>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</si>
  <si>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</si>
  <si>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</si>
  <si>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</si>
  <si>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</si>
  <si>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</si>
  <si>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</si>
  <si>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</si>
  <si>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</si>
  <si>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</si>
  <si>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</si>
  <si>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</si>
  <si>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</si>
  <si>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</si>
  <si>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</si>
  <si>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</si>
  <si>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</si>
  <si>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</si>
  <si>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</si>
  <si>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</si>
  <si>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</si>
  <si>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</si>
  <si>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</si>
  <si>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</si>
  <si>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</si>
  <si>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</si>
  <si>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</si>
  <si>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</si>
  <si>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</si>
  <si>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</si>
  <si>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</si>
  <si>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</si>
  <si>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</si>
  <si>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</si>
  <si>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</si>
  <si>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</si>
  <si>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</si>
  <si>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</si>
  <si>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</si>
  <si>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</si>
  <si>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</si>
  <si>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</si>
  <si>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</si>
  <si>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</si>
  <si>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</si>
  <si>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</si>
  <si>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</si>
  <si>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</si>
  <si>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</si>
  <si>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</si>
  <si>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</si>
  <si>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</si>
  <si>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</si>
  <si>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</si>
  <si>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</si>
  <si>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</si>
  <si>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</si>
  <si>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28 feb. 2025</t>
  </si>
  <si>
    <t>Tribunales de Justicia</t>
  </si>
  <si>
    <t>COMUNIDAD VALENCIANA</t>
  </si>
  <si>
    <t>Provincias</t>
  </si>
  <si>
    <t>CASTELLON-CASTELLO</t>
  </si>
  <si>
    <t>Resumenes por Partidos Judiciales</t>
  </si>
  <si>
    <t>VILLARREAL-VILA-REAL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</si>
</sst>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1</v>
      </c>
    </row>
    <row r="4" spans="1:19" ht="22.5" customHeight="1" thickBot="1">
      <c r="A4" s="367" t="s">
        <v>911</v>
      </c>
      <c r="B4" s="366"/>
      <c r="C4" s="366"/>
      <c r="D4" s="366"/>
      <c r="E4" s="366"/>
      <c r="F4" s="2"/>
      <c r="Q4" s="346">
        <v>2</v>
      </c>
      <c r="R4" s="346">
        <v>3</v>
      </c>
      <c r="S4" t="b">
        <f>AND(Q4&gt;=TrimIni,Q4&lt;=TrimFin)</f>
        <v>1</v>
      </c>
    </row>
    <row r="5" spans="1:19" ht="15.75" thickBot="1">
      <c r="A5" s="368" t="s">
        <v>37</v>
      </c>
      <c r="B5" s="369">
        <v>2024</v>
      </c>
      <c r="C5" s="370" t="s">
        <v>215</v>
      </c>
      <c r="D5" s="371">
        <v>1</v>
      </c>
      <c r="E5" s="372"/>
      <c r="F5" s="3"/>
      <c r="H5" t="s">
        <v>424</v>
      </c>
      <c r="Q5" s="346">
        <v>3</v>
      </c>
      <c r="R5" s="346">
        <v>2</v>
      </c>
      <c r="S5" t="b">
        <f>AND(Q5&gt;=TrimIni,Q5&lt;=TrimFin)</f>
        <v>1</v>
      </c>
    </row>
    <row r="6" spans="1:19" ht="15">
      <c r="A6" s="373"/>
      <c r="B6" s="372"/>
      <c r="C6" s="370" t="s">
        <v>216</v>
      </c>
      <c r="D6" s="371">
        <v>4</v>
      </c>
      <c r="E6" s="372"/>
      <c r="F6" s="3"/>
      <c r="Q6" s="346">
        <v>4</v>
      </c>
      <c r="R6" s="346">
        <v>3</v>
      </c>
      <c r="S6" t="b">
        <f>AND(Q6&gt;=TrimIni,Q6&lt;=TrimFin)</f>
        <v>1</v>
      </c>
    </row>
    <row r="7" spans="1:19" ht="13.5" thickBot="1">
      <c r="A7" s="374"/>
      <c r="B7" s="375"/>
      <c r="C7" s="372"/>
      <c r="D7" s="372"/>
      <c r="E7" s="372"/>
      <c r="F7" s="3"/>
      <c r="Q7" s="346"/>
      <c r="R7" s="346"/>
    </row>
    <row r="8" spans="1:19" ht="22.5">
      <c r="A8" s="472"/>
      <c r="B8" s="376"/>
      <c r="C8" s="377"/>
      <c r="D8" s="378"/>
      <c r="E8" s="379"/>
      <c r="F8" s="3"/>
      <c r="Q8" s="346"/>
      <c r="R8" s="347">
        <f>11/SUMIF(S3:S6,TRUE,R3:R6)</f>
        <v>1</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8xDQE/SoeGbEmGIx44AFZ0OVa2BjAudubPz4TD1/tRyVpSAoBsmbYsnwrbdk2ZkGYmS5AHO6CUa9c7P7YGmlGg==" saltValue="C4znwry1Qu45OBFr0EQro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COMUNIDAD VALENCIANA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1 al 4</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112</v>
      </c>
      <c r="D10" s="225">
        <f>IF(ISNUMBER(Datos!I10),Datos!I10," - ")</f>
        <v>112</v>
      </c>
      <c r="E10" s="226">
        <f>IF(ISNUMBER(Datos!J10),Datos!J10," - ")</f>
        <v>145</v>
      </c>
      <c r="F10" s="226">
        <f>IF(ISNUMBER(Datos!K10),Datos!K10," - ")</f>
        <v>162</v>
      </c>
      <c r="G10" s="1034" t="str">
        <f>IF(Datos!E10&lt;&gt;"",Datos!E10,Datos!D10)</f>
        <v>37</v>
      </c>
      <c r="H10" s="227">
        <f>IF(ISNUMBER(Datos!L10),Datos!L10," - ")</f>
        <v>95</v>
      </c>
      <c r="I10" s="1044" t="str">
        <f>IF(ISNUMBER(Datos!AS10/Datos!BM10),Datos!AS10/Datos!BM10," - ")</f>
        <v xml:space="preserve"> - </v>
      </c>
      <c r="J10" s="1045">
        <f>IF(ISNUMBER(Datos!BY10/Datos!CN10),Datos!BY10/Datos!CN10," - ")</f>
        <v>0</v>
      </c>
      <c r="K10" s="230">
        <f t="shared" ref="K10:K12" si="1">IF(ISNUMBER((E10-F10)/C10),(E10-F10)/C10," - ")</f>
        <v>-0.15178571428571427</v>
      </c>
      <c r="L10" s="1025">
        <f>IF(ISNUMBER(NºAsuntos!I10/NºAsuntos!G10),(NºAsuntos!I10/NºAsuntos!G10)*11," - ")</f>
        <v>6.450617283950618</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5</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12.456756756756757</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112</v>
      </c>
      <c r="D13" s="1049">
        <f>SUBTOTAL(9,D9:D12)</f>
        <v>112</v>
      </c>
      <c r="E13" s="1050">
        <f>SUBTOTAL(9,E9:E12)</f>
        <v>145</v>
      </c>
      <c r="F13" s="1051">
        <f>SUBTOTAL(9,F9:F12)</f>
        <v>162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5</v>
      </c>
      <c r="B16" s="502" t="str">
        <f>Datos!A16</f>
        <v xml:space="preserve">Jdos. 1ª Instª. e Instr.                        </v>
      </c>
      <c r="C16" s="225">
        <f t="shared" si="2"/>
        <v>1202</v>
      </c>
      <c r="D16" s="225">
        <f>IF(ISNUMBER(IF(D_I="SI",Datos!I16,Datos!I16+Datos!AC16)),IF(D_I="SI",Datos!I16,Datos!I16+Datos!AC16)," - ")</f>
        <v>1194</v>
      </c>
      <c r="E16" s="226">
        <f>IF(ISNUMBER(IF(D_I="SI",Datos!J16,Datos!J16+Datos!AD16)),IF(D_I="SI",Datos!J16,Datos!J16+Datos!AD16)," - ")</f>
        <v>3854</v>
      </c>
      <c r="F16" s="226">
        <f>IF(ISNUMBER(IF(D_I="SI",Datos!K16,Datos!K16+Datos!AE16)),IF(D_I="SI",Datos!K16,Datos!K16+Datos!AE16)," - ")</f>
        <v>3829</v>
      </c>
      <c r="G16" s="1034" t="str">
        <f>IF(Datos!E16&lt;&gt;"",Datos!E16,Datos!D16)</f>
        <v>04</v>
      </c>
      <c r="H16" s="227">
        <f>IF(ISNUMBER(IF(D_I="SI",Datos!L16,Datos!L16+Datos!AF16)),IF(D_I="SI",Datos!L16,Datos!L16+Datos!AF16)," - ")</f>
        <v>1227</v>
      </c>
      <c r="I16" s="1044" t="str">
        <f>IF(ISNUMBER(Datos!AS16/Datos!BM16),Datos!AS16/Datos!BM16," - ")</f>
        <v xml:space="preserve"> - </v>
      </c>
      <c r="J16" s="1045">
        <f>IF(ISNUMBER(Datos!BY16/Datos!CN16),Datos!BY16/Datos!CN16," - ")</f>
        <v>0</v>
      </c>
      <c r="K16" s="230">
        <f t="shared" si="3"/>
        <v>2.0798668885191347E-2</v>
      </c>
      <c r="L16" s="1025">
        <f>IF(ISNUMBER(NºAsuntos!I16/NºAsuntos!G16),(NºAsuntos!I16/NºAsuntos!G16)*11," - ")</f>
        <v>3.5249412379211287</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659</v>
      </c>
      <c r="D17" s="225">
        <f>IF(ISNUMBER(IF(D_I="SI",Datos!I17,Datos!I17+Datos!AC17)),IF(D_I="SI",Datos!I17,Datos!I17+Datos!AC17)," - ")</f>
        <v>659</v>
      </c>
      <c r="E17" s="226">
        <f>IF(ISNUMBER(IF(D_I="SI",Datos!J17,Datos!J17+Datos!AD17)),IF(D_I="SI",Datos!J17,Datos!J17+Datos!AD17)," - ")</f>
        <v>1255</v>
      </c>
      <c r="F17" s="226">
        <f>IF(ISNUMBER(IF(D_I="SI",Datos!K17,Datos!K17+Datos!AE17)),IF(D_I="SI",Datos!K17,Datos!K17+Datos!AE17)," - ")</f>
        <v>1329</v>
      </c>
      <c r="G17" s="1034" t="str">
        <f>IF(Datos!E17&lt;&gt;"",Datos!E17,Datos!D17)</f>
        <v>37</v>
      </c>
      <c r="H17" s="227">
        <f>IF(ISNUMBER(IF(D_I="SI",Datos!L17,Datos!L17+Datos!AF17)),IF(D_I="SI",Datos!L17,Datos!L17+Datos!AF17)," - ")</f>
        <v>585</v>
      </c>
      <c r="I17" s="1044" t="str">
        <f>IF(ISNUMBER(Datos!AS17/Datos!BM17),Datos!AS17/Datos!BM17," - ")</f>
        <v xml:space="preserve"> - </v>
      </c>
      <c r="J17" s="1045" t="str">
        <f>IF(ISNUMBER((Datos!BY17+Datos!BZ17)/Datos!CN17),(Datos!BY17+Datos!BZ17)/Datos!CN17," - ")</f>
        <v xml:space="preserve"> - </v>
      </c>
      <c r="K17" s="230">
        <f t="shared" si="3"/>
        <v>-0.11229135053110774</v>
      </c>
      <c r="L17" s="1025">
        <f>IF(ISNUMBER(NºAsuntos!I17/NºAsuntos!G17),(NºAsuntos!I17/NºAsuntos!G17)*11," - ")</f>
        <v>4.8419864559819414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1861</v>
      </c>
      <c r="D18" s="1049">
        <f>SUBTOTAL(9,D15:D17)</f>
        <v>1853</v>
      </c>
      <c r="E18" s="1050">
        <f>SUBTOTAL(9,E15:E17)</f>
        <v>5109</v>
      </c>
      <c r="F18" s="1050">
        <f>SUBTOTAL(9,F15:F17)</f>
        <v>5158</v>
      </c>
      <c r="G18" s="1052" t="str">
        <f ca="1">INDIRECT(CONCATENATE("G",ROW()-1))</f>
        <v>37</v>
      </c>
      <c r="H18" s="1053">
        <f ca="1">SUMIF(G$14:G17,G18,H$14:H17)</f>
        <v>585</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1973</v>
      </c>
      <c r="D19" s="1071">
        <f>SUBTOTAL(9,D9:D18)</f>
        <v>1965</v>
      </c>
      <c r="E19" s="1072">
        <f>SUBTOTAL(9,E9:E18)</f>
        <v>5254</v>
      </c>
      <c r="F19" s="1072">
        <f>SUBTOTAL(9,F9:F18)</f>
        <v>5320</v>
      </c>
      <c r="G19" s="1073"/>
      <c r="H19" s="1074">
        <f ca="1">SUMIF(B9:B18,"TOTAL",H9:H18)</f>
        <v>585</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28 feb.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uILeIqfa2uJRhfO7qswQbf5ocXLf0wMAyT9g/UahES8xM4U+UMHDimf7wO22Hmv7+F5h7vydLkdjcaGrSdLpvg==" saltValue="etgrPlHvUAaoLberC9yD8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TlgNyhHtMHoCYAazPyRjpt4zFRruyyrYmk5+chjePxZXOfSivxNQo3GSaxObE1hSFkgn6w/OF4vDEoYm8z5yaQ==" saltValue="G0hGwX7eorXDkN75R8S3F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CASTELLON-CASTELLO</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112</v>
      </c>
      <c r="J10" s="181">
        <v>145</v>
      </c>
      <c r="K10" s="181">
        <v>162</v>
      </c>
      <c r="L10" s="181">
        <v>95</v>
      </c>
      <c r="M10" s="181">
        <v>95</v>
      </c>
      <c r="N10" s="181">
        <v>58</v>
      </c>
      <c r="O10" s="181">
        <v>63</v>
      </c>
      <c r="P10" s="181">
        <v>53</v>
      </c>
      <c r="Q10" s="181">
        <v>61</v>
      </c>
      <c r="R10" s="181">
        <v>33</v>
      </c>
      <c r="S10" s="181">
        <v>72</v>
      </c>
      <c r="T10" s="181">
        <v>162</v>
      </c>
      <c r="U10" s="181">
        <v>122</v>
      </c>
      <c r="V10" s="181">
        <v>112</v>
      </c>
      <c r="W10" s="181">
        <v>73</v>
      </c>
      <c r="X10" s="188">
        <v>44</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793</v>
      </c>
      <c r="AT10" s="192"/>
      <c r="AU10" s="200"/>
      <c r="AV10" s="192"/>
      <c r="AW10" s="200"/>
      <c r="AX10" s="192"/>
      <c r="AY10" s="128">
        <f t="shared" ref="AY10:BC10" si="0">IF(ISNUMBER(S10),S10," - ")</f>
        <v>72</v>
      </c>
      <c r="AZ10" s="129">
        <f t="shared" si="0"/>
        <v>162</v>
      </c>
      <c r="BA10" s="129">
        <f t="shared" si="0"/>
        <v>122</v>
      </c>
      <c r="BB10" s="129">
        <f t="shared" si="0"/>
        <v>112</v>
      </c>
      <c r="BC10" s="125">
        <f t="shared" si="0"/>
        <v>73</v>
      </c>
      <c r="BD10" s="126">
        <f>IF(ISNUMBER(BA10/AZ10),BA10/AZ10," - ")</f>
        <v>0.75308641975308643</v>
      </c>
      <c r="BE10" s="127">
        <f>IF(ISNUMBER(BB10/BA10),BB10/BA10, " - ")</f>
        <v>0.91803278688524592</v>
      </c>
      <c r="BF10" s="127">
        <f>IF(ISNUMBER(BC10/BA10),BC10/BA10, " - ")</f>
        <v>0.59836065573770492</v>
      </c>
      <c r="BG10" s="196">
        <f>IF(ISNUMBER((AY10+AZ10)/BA10),(AY10+AZ10)/BA10," - ")</f>
        <v>1.9180327868852458</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3089</v>
      </c>
      <c r="J12" s="183">
        <v>3643</v>
      </c>
      <c r="K12" s="183">
        <v>3126</v>
      </c>
      <c r="L12" s="183">
        <v>3636</v>
      </c>
      <c r="M12" s="183">
        <v>695</v>
      </c>
      <c r="N12" s="183">
        <v>1390</v>
      </c>
      <c r="O12" s="181">
        <v>1524</v>
      </c>
      <c r="P12" s="183">
        <v>790</v>
      </c>
      <c r="Q12" s="183">
        <v>520</v>
      </c>
      <c r="R12" s="183">
        <v>5124</v>
      </c>
      <c r="S12" s="183">
        <v>2521</v>
      </c>
      <c r="T12" s="183">
        <v>3755</v>
      </c>
      <c r="U12" s="183">
        <v>3179</v>
      </c>
      <c r="V12" s="183">
        <v>3089</v>
      </c>
      <c r="W12" s="183">
        <v>653</v>
      </c>
      <c r="X12" s="189">
        <v>1483</v>
      </c>
      <c r="Y12" s="191">
        <v>118</v>
      </c>
      <c r="Z12" s="181">
        <v>217</v>
      </c>
      <c r="AA12" s="181">
        <v>204</v>
      </c>
      <c r="AB12" s="181">
        <v>135</v>
      </c>
      <c r="AC12" s="183">
        <v>0</v>
      </c>
      <c r="AD12" s="183">
        <v>0</v>
      </c>
      <c r="AE12" s="183">
        <v>0</v>
      </c>
      <c r="AF12" s="189">
        <v>0</v>
      </c>
      <c r="AG12" s="202">
        <v>129</v>
      </c>
      <c r="AH12" s="183">
        <v>252</v>
      </c>
      <c r="AI12" s="183">
        <v>287</v>
      </c>
      <c r="AJ12" s="203">
        <v>118</v>
      </c>
      <c r="AK12" s="182">
        <v>0</v>
      </c>
      <c r="AL12" s="183">
        <v>0</v>
      </c>
      <c r="AM12" s="183">
        <v>0</v>
      </c>
      <c r="AN12" s="189">
        <v>0</v>
      </c>
      <c r="AO12" s="259">
        <v>5</v>
      </c>
      <c r="AP12" s="155">
        <v>5</v>
      </c>
      <c r="AQ12" s="155">
        <v>5</v>
      </c>
      <c r="AR12" s="154">
        <v>5</v>
      </c>
      <c r="AS12" s="340" t="s">
        <v>802</v>
      </c>
      <c r="AT12" s="203"/>
      <c r="AU12" s="202"/>
      <c r="AV12" s="203"/>
      <c r="AW12" s="202"/>
      <c r="AX12" s="203"/>
      <c r="AY12" s="126">
        <f t="shared" si="1"/>
        <v>2650</v>
      </c>
      <c r="AZ12" s="127">
        <f t="shared" si="1"/>
        <v>4007</v>
      </c>
      <c r="BA12" s="127">
        <f t="shared" si="1"/>
        <v>3466</v>
      </c>
      <c r="BB12" s="127">
        <f t="shared" si="1"/>
        <v>3207</v>
      </c>
      <c r="BC12" s="125">
        <f>IF(ISNUMBER(X12),X12," - ")</f>
        <v>1483</v>
      </c>
      <c r="BD12" s="126">
        <f t="shared" si="2"/>
        <v>0.86498627402046424</v>
      </c>
      <c r="BE12" s="127">
        <f t="shared" si="3"/>
        <v>0.92527409117137915</v>
      </c>
      <c r="BF12" s="127">
        <f t="shared" si="4"/>
        <v>0.42787074437391809</v>
      </c>
      <c r="BG12" s="196">
        <f t="shared" si="5"/>
        <v>1.9206578188113099</v>
      </c>
      <c r="BH12" s="155">
        <v>5</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3201</v>
      </c>
      <c r="J13" s="184">
        <f t="shared" si="6"/>
        <v>3788</v>
      </c>
      <c r="K13" s="184">
        <f t="shared" si="6"/>
        <v>3288</v>
      </c>
      <c r="L13" s="184">
        <f t="shared" si="6"/>
        <v>3731</v>
      </c>
      <c r="M13" s="184">
        <f t="shared" si="6"/>
        <v>790</v>
      </c>
      <c r="N13" s="184">
        <f t="shared" si="6"/>
        <v>1448</v>
      </c>
      <c r="O13" s="184">
        <f t="shared" si="6"/>
        <v>1587</v>
      </c>
      <c r="P13" s="184">
        <f t="shared" si="6"/>
        <v>843</v>
      </c>
      <c r="Q13" s="184">
        <f t="shared" si="6"/>
        <v>581</v>
      </c>
      <c r="R13" s="184">
        <f t="shared" si="6"/>
        <v>5157</v>
      </c>
      <c r="S13" s="184">
        <f t="shared" si="6"/>
        <v>2593</v>
      </c>
      <c r="T13" s="184">
        <f t="shared" si="6"/>
        <v>3917</v>
      </c>
      <c r="U13" s="184">
        <f t="shared" si="6"/>
        <v>3301</v>
      </c>
      <c r="V13" s="184">
        <f t="shared" si="6"/>
        <v>3201</v>
      </c>
      <c r="W13" s="184">
        <f t="shared" si="6"/>
        <v>726</v>
      </c>
      <c r="X13" s="184">
        <f t="shared" si="6"/>
        <v>1527</v>
      </c>
      <c r="Y13" s="184">
        <f t="shared" si="6"/>
        <v>118</v>
      </c>
      <c r="Z13" s="184">
        <f t="shared" si="6"/>
        <v>217</v>
      </c>
      <c r="AA13" s="184">
        <f t="shared" si="6"/>
        <v>204</v>
      </c>
      <c r="AB13" s="184">
        <f t="shared" si="6"/>
        <v>135</v>
      </c>
      <c r="AC13" s="184">
        <f t="shared" si="6"/>
        <v>0</v>
      </c>
      <c r="AD13" s="184">
        <f t="shared" si="6"/>
        <v>0</v>
      </c>
      <c r="AE13" s="184">
        <f t="shared" si="6"/>
        <v>0</v>
      </c>
      <c r="AF13" s="184">
        <f>SUBTOTAL(9,AF9:AF12)</f>
        <v>0</v>
      </c>
      <c r="AG13" s="184">
        <f t="shared" ref="AG13:AT13" si="7">SUBTOTAL(9,AG8:AG12)</f>
        <v>129</v>
      </c>
      <c r="AH13" s="184">
        <f t="shared" si="7"/>
        <v>252</v>
      </c>
      <c r="AI13" s="184">
        <f t="shared" si="7"/>
        <v>287</v>
      </c>
      <c r="AJ13" s="184">
        <f t="shared" si="7"/>
        <v>118</v>
      </c>
      <c r="AK13" s="184">
        <f t="shared" si="7"/>
        <v>0</v>
      </c>
      <c r="AL13" s="184">
        <f t="shared" si="7"/>
        <v>0</v>
      </c>
      <c r="AM13" s="184">
        <f t="shared" si="7"/>
        <v>0</v>
      </c>
      <c r="AN13" s="184">
        <f t="shared" si="7"/>
        <v>0</v>
      </c>
      <c r="AO13" s="184">
        <f t="shared" si="7"/>
        <v>6</v>
      </c>
      <c r="AP13" s="184">
        <f t="shared" si="7"/>
        <v>6</v>
      </c>
      <c r="AQ13" s="184">
        <f t="shared" si="7"/>
        <v>6</v>
      </c>
      <c r="AR13" s="184">
        <f t="shared" si="7"/>
        <v>6</v>
      </c>
      <c r="AS13" s="184">
        <f t="shared" si="7"/>
        <v>0</v>
      </c>
      <c r="AT13" s="184">
        <f t="shared" si="7"/>
        <v>0</v>
      </c>
      <c r="AU13" s="204"/>
      <c r="AV13" s="132"/>
      <c r="AW13" s="204"/>
      <c r="AX13" s="132"/>
      <c r="AY13" s="184">
        <f>SUBTOTAL(9,AY8:AY12)</f>
        <v>2722</v>
      </c>
      <c r="AZ13" s="184">
        <f>SUBTOTAL(9,AZ8:AZ12)</f>
        <v>4169</v>
      </c>
      <c r="BA13" s="184">
        <f>SUBTOTAL(9,BA8:BA12)</f>
        <v>3588</v>
      </c>
      <c r="BB13" s="184">
        <f>SUBTOTAL(9,BB8:BB12)</f>
        <v>3319</v>
      </c>
      <c r="BC13" s="184">
        <f>SUBTOTAL(9,BC8:BC12)</f>
        <v>1556</v>
      </c>
      <c r="BD13" s="205">
        <f>IF(ISNUMBER(BA13/AZ13),BA13/AZ13," - ")</f>
        <v>0.86063804269609023</v>
      </c>
      <c r="BE13" s="206">
        <f>IF(ISNUMBER(BB13/BA13),BB13/BA13, " - ")</f>
        <v>0.92502787068004455</v>
      </c>
      <c r="BF13" s="206">
        <f>IF(ISNUMBER(BC13/BA13),BC13/BA13, " - ")</f>
        <v>0.43366778149386848</v>
      </c>
      <c r="BG13" s="207">
        <f>IF(ISNUMBER((AY13+AZ13)/BA13),(AY13+AZ13)/BA13," - ")</f>
        <v>1.9205685618729098</v>
      </c>
      <c r="BH13" s="140">
        <f>SUBTOTAL(9,BH8:BH12)</f>
        <v>6</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1194</v>
      </c>
      <c r="J16" s="183">
        <v>3854</v>
      </c>
      <c r="K16" s="183">
        <v>3829</v>
      </c>
      <c r="L16" s="183">
        <v>1227</v>
      </c>
      <c r="M16" s="183">
        <v>567</v>
      </c>
      <c r="N16" s="183">
        <v>2093</v>
      </c>
      <c r="O16" s="181">
        <v>47</v>
      </c>
      <c r="P16" s="183">
        <v>171</v>
      </c>
      <c r="Q16" s="183">
        <v>113</v>
      </c>
      <c r="R16" s="183">
        <v>260</v>
      </c>
      <c r="S16" s="183">
        <v>1329</v>
      </c>
      <c r="T16" s="183">
        <v>3782</v>
      </c>
      <c r="U16" s="183">
        <v>3908</v>
      </c>
      <c r="V16" s="183">
        <v>1194</v>
      </c>
      <c r="W16" s="183">
        <v>489</v>
      </c>
      <c r="X16" s="189">
        <v>2180</v>
      </c>
      <c r="Y16" s="202">
        <v>0</v>
      </c>
      <c r="Z16" s="183">
        <v>0</v>
      </c>
      <c r="AA16" s="183">
        <v>0</v>
      </c>
      <c r="AB16" s="183">
        <v>0</v>
      </c>
      <c r="AC16" s="183">
        <v>2</v>
      </c>
      <c r="AD16" s="183">
        <v>2</v>
      </c>
      <c r="AE16" s="183">
        <v>4</v>
      </c>
      <c r="AF16" s="189">
        <v>0</v>
      </c>
      <c r="AG16" s="202">
        <v>0</v>
      </c>
      <c r="AH16" s="183">
        <v>0</v>
      </c>
      <c r="AI16" s="183">
        <v>0</v>
      </c>
      <c r="AJ16" s="203">
        <v>0</v>
      </c>
      <c r="AK16" s="182">
        <v>0</v>
      </c>
      <c r="AL16" s="183">
        <v>4</v>
      </c>
      <c r="AM16" s="183">
        <v>2</v>
      </c>
      <c r="AN16" s="189">
        <v>2</v>
      </c>
      <c r="AO16" s="259">
        <v>5</v>
      </c>
      <c r="AP16" s="155">
        <v>5</v>
      </c>
      <c r="AQ16" s="155">
        <v>5</v>
      </c>
      <c r="AR16" s="155">
        <v>5</v>
      </c>
      <c r="AS16" s="340" t="s">
        <v>487</v>
      </c>
      <c r="AT16" s="203"/>
      <c r="AU16" s="202"/>
      <c r="AV16" s="203"/>
      <c r="AW16" s="202"/>
      <c r="AX16" s="203"/>
      <c r="AY16" s="126">
        <f t="shared" si="9"/>
        <v>1329</v>
      </c>
      <c r="AZ16" s="127">
        <f t="shared" si="9"/>
        <v>3782</v>
      </c>
      <c r="BA16" s="127">
        <f t="shared" si="9"/>
        <v>3908</v>
      </c>
      <c r="BB16" s="127">
        <f t="shared" si="9"/>
        <v>1194</v>
      </c>
      <c r="BC16" s="125">
        <f>IF(ISNUMBER(W16),W16," - ")</f>
        <v>489</v>
      </c>
      <c r="BD16" s="126">
        <f t="shared" ref="BD16" si="11">IF(ISNUMBER(BA16/AZ16),BA16/AZ16," - ")</f>
        <v>1.0333157059756743</v>
      </c>
      <c r="BE16" s="127">
        <f t="shared" ref="BE16" si="12">IF(ISNUMBER(BB16/BA16),BB16/BA16, " - ")</f>
        <v>0.30552712384851588</v>
      </c>
      <c r="BF16" s="127">
        <f t="shared" ref="BF16" si="13">IF(ISNUMBER(BC16/BA16),BC16/BA16, " - ")</f>
        <v>0.12512794268167859</v>
      </c>
      <c r="BG16" s="196">
        <f t="shared" si="10"/>
        <v>1.3078300921187309</v>
      </c>
      <c r="BH16" s="155">
        <v>5</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659</v>
      </c>
      <c r="J17" s="183">
        <v>1255</v>
      </c>
      <c r="K17" s="183">
        <v>1329</v>
      </c>
      <c r="L17" s="183">
        <v>585</v>
      </c>
      <c r="M17" s="183">
        <v>232</v>
      </c>
      <c r="N17" s="183">
        <v>757</v>
      </c>
      <c r="O17" s="183">
        <v>0</v>
      </c>
      <c r="P17" s="183">
        <v>18</v>
      </c>
      <c r="Q17" s="183">
        <v>14</v>
      </c>
      <c r="R17" s="183">
        <v>13</v>
      </c>
      <c r="S17" s="183">
        <v>382</v>
      </c>
      <c r="T17" s="183">
        <v>2318</v>
      </c>
      <c r="U17" s="183">
        <v>2041</v>
      </c>
      <c r="V17" s="183">
        <v>659</v>
      </c>
      <c r="W17" s="183">
        <v>184</v>
      </c>
      <c r="X17" s="189">
        <v>1037</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792</v>
      </c>
      <c r="AT17" s="209"/>
      <c r="AU17" s="200"/>
      <c r="AV17" s="209"/>
      <c r="AW17" s="200"/>
      <c r="AX17" s="209"/>
      <c r="AY17" s="128">
        <f t="shared" ref="AY17:BB17" si="14">IF(ISNUMBER(S17),S17," - ")</f>
        <v>382</v>
      </c>
      <c r="AZ17" s="129">
        <f t="shared" si="14"/>
        <v>2318</v>
      </c>
      <c r="BA17" s="129">
        <f t="shared" si="14"/>
        <v>2041</v>
      </c>
      <c r="BB17" s="129">
        <f t="shared" si="14"/>
        <v>659</v>
      </c>
      <c r="BC17" s="125">
        <f>IF(ISNUMBER(W17),W17," - ")</f>
        <v>184</v>
      </c>
      <c r="BD17" s="126">
        <f>IF(ISNUMBER(BA17/AZ17),BA17/AZ17," - ")</f>
        <v>0.88050043140638479</v>
      </c>
      <c r="BE17" s="127">
        <f>IF(ISNUMBER(BB17/BA17),BB17/BA17, " - ")</f>
        <v>0.32288094071533563</v>
      </c>
      <c r="BF17" s="127">
        <f>IF(ISNUMBER(BC17/BA17),BC17/BA17, " - ")</f>
        <v>9.0151886330230274E-2</v>
      </c>
      <c r="BG17" s="196">
        <f>IF(ISNUMBER((AY17+AZ17)/BA17),(AY17+AZ17)/BA17," - ")</f>
        <v>1.3228809407153357</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1853</v>
      </c>
      <c r="J18" s="184">
        <f t="shared" si="15"/>
        <v>5109</v>
      </c>
      <c r="K18" s="184">
        <f t="shared" si="15"/>
        <v>5158</v>
      </c>
      <c r="L18" s="184">
        <f t="shared" si="15"/>
        <v>1812</v>
      </c>
      <c r="M18" s="184">
        <f t="shared" si="15"/>
        <v>799</v>
      </c>
      <c r="N18" s="184">
        <f t="shared" si="15"/>
        <v>2850</v>
      </c>
      <c r="O18" s="184">
        <f t="shared" si="15"/>
        <v>47</v>
      </c>
      <c r="P18" s="184">
        <f t="shared" si="15"/>
        <v>189</v>
      </c>
      <c r="Q18" s="184">
        <f t="shared" si="15"/>
        <v>127</v>
      </c>
      <c r="R18" s="184">
        <f t="shared" si="15"/>
        <v>273</v>
      </c>
      <c r="S18" s="184">
        <f t="shared" si="15"/>
        <v>1711</v>
      </c>
      <c r="T18" s="184">
        <f t="shared" si="15"/>
        <v>6100</v>
      </c>
      <c r="U18" s="184">
        <f t="shared" si="15"/>
        <v>5949</v>
      </c>
      <c r="V18" s="184">
        <f t="shared" si="15"/>
        <v>1853</v>
      </c>
      <c r="W18" s="184">
        <f t="shared" si="15"/>
        <v>673</v>
      </c>
      <c r="X18" s="184">
        <f t="shared" si="15"/>
        <v>3217</v>
      </c>
      <c r="Y18" s="184">
        <f t="shared" si="15"/>
        <v>0</v>
      </c>
      <c r="Z18" s="184">
        <f t="shared" si="15"/>
        <v>0</v>
      </c>
      <c r="AA18" s="184">
        <f t="shared" si="15"/>
        <v>0</v>
      </c>
      <c r="AB18" s="184">
        <f t="shared" si="15"/>
        <v>0</v>
      </c>
      <c r="AC18" s="184">
        <f t="shared" si="15"/>
        <v>2</v>
      </c>
      <c r="AD18" s="184">
        <f t="shared" si="15"/>
        <v>2</v>
      </c>
      <c r="AE18" s="184">
        <f t="shared" si="15"/>
        <v>4</v>
      </c>
      <c r="AF18" s="184">
        <f t="shared" si="15"/>
        <v>0</v>
      </c>
      <c r="AG18" s="184">
        <f t="shared" si="15"/>
        <v>0</v>
      </c>
      <c r="AH18" s="184">
        <f t="shared" si="15"/>
        <v>0</v>
      </c>
      <c r="AI18" s="184">
        <f t="shared" si="15"/>
        <v>0</v>
      </c>
      <c r="AJ18" s="184">
        <f t="shared" si="15"/>
        <v>0</v>
      </c>
      <c r="AK18" s="184">
        <f t="shared" si="15"/>
        <v>0</v>
      </c>
      <c r="AL18" s="184">
        <f t="shared" si="15"/>
        <v>4</v>
      </c>
      <c r="AM18" s="184">
        <f t="shared" si="15"/>
        <v>2</v>
      </c>
      <c r="AN18" s="184">
        <f t="shared" si="15"/>
        <v>2</v>
      </c>
      <c r="AO18" s="184">
        <f t="shared" si="15"/>
        <v>6</v>
      </c>
      <c r="AP18" s="184">
        <f t="shared" si="15"/>
        <v>6</v>
      </c>
      <c r="AQ18" s="184">
        <f t="shared" si="15"/>
        <v>6</v>
      </c>
      <c r="AR18" s="184">
        <f t="shared" si="15"/>
        <v>6</v>
      </c>
      <c r="AS18" s="184">
        <f t="shared" si="15"/>
        <v>0</v>
      </c>
      <c r="AT18" s="184">
        <f t="shared" si="15"/>
        <v>0</v>
      </c>
      <c r="AU18" s="204"/>
      <c r="AV18" s="132"/>
      <c r="AW18" s="204"/>
      <c r="AX18" s="132"/>
      <c r="AY18" s="184">
        <f>SUBTOTAL(9,AY14:AY17)</f>
        <v>1711</v>
      </c>
      <c r="AZ18" s="184">
        <f>SUBTOTAL(9,AZ14:AZ17)</f>
        <v>6100</v>
      </c>
      <c r="BA18" s="184">
        <f>SUBTOTAL(9,BA14:BA17)</f>
        <v>5949</v>
      </c>
      <c r="BB18" s="184">
        <f>SUBTOTAL(9,BB14:BB17)</f>
        <v>1853</v>
      </c>
      <c r="BC18" s="184">
        <f>SUBTOTAL(9,BC14:BC17)</f>
        <v>673</v>
      </c>
      <c r="BD18" s="205">
        <f>IF(ISNUMBER(BA18/AZ18),BA18/AZ18," - ")</f>
        <v>0.97524590163934421</v>
      </c>
      <c r="BE18" s="206">
        <f>IF(ISNUMBER(BB18/BA18),BB18/BA18, " - ")</f>
        <v>0.31148092116322074</v>
      </c>
      <c r="BF18" s="206">
        <f>IF(ISNUMBER(BC18/BA18),BC18/BA18, " - ")</f>
        <v>0.11312825684989074</v>
      </c>
      <c r="BG18" s="207">
        <f>IF(ISNUMBER((AY18+AZ18)/BA18),(AY18+AZ18)/BA18," - ")</f>
        <v>1.3129937804673055</v>
      </c>
      <c r="BH18" s="184">
        <f>SUBTOTAL(9,BH14:BH17)</f>
        <v>6</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5054</v>
      </c>
      <c r="J19" s="134">
        <f t="shared" si="18"/>
        <v>8897</v>
      </c>
      <c r="K19" s="134">
        <f t="shared" si="18"/>
        <v>8446</v>
      </c>
      <c r="L19" s="134">
        <f t="shared" si="18"/>
        <v>5543</v>
      </c>
      <c r="M19" s="134">
        <f t="shared" si="18"/>
        <v>1589</v>
      </c>
      <c r="N19" s="134">
        <f t="shared" si="18"/>
        <v>4298</v>
      </c>
      <c r="O19" s="134">
        <f t="shared" si="18"/>
        <v>1634</v>
      </c>
      <c r="P19" s="134">
        <f t="shared" si="18"/>
        <v>1032</v>
      </c>
      <c r="Q19" s="134">
        <f t="shared" si="18"/>
        <v>708</v>
      </c>
      <c r="R19" s="134">
        <f t="shared" si="18"/>
        <v>5430</v>
      </c>
      <c r="S19" s="134">
        <f t="shared" si="18"/>
        <v>4304</v>
      </c>
      <c r="T19" s="134">
        <f t="shared" si="18"/>
        <v>10017</v>
      </c>
      <c r="U19" s="134">
        <f t="shared" si="18"/>
        <v>9250</v>
      </c>
      <c r="V19" s="134">
        <f t="shared" si="18"/>
        <v>5054</v>
      </c>
      <c r="W19" s="134">
        <f t="shared" si="18"/>
        <v>1399</v>
      </c>
      <c r="X19" s="134">
        <f t="shared" si="18"/>
        <v>4744</v>
      </c>
      <c r="Y19" s="134">
        <f t="shared" si="18"/>
        <v>118</v>
      </c>
      <c r="Z19" s="134">
        <f t="shared" si="18"/>
        <v>217</v>
      </c>
      <c r="AA19" s="134">
        <f t="shared" si="18"/>
        <v>204</v>
      </c>
      <c r="AB19" s="134">
        <f t="shared" si="18"/>
        <v>135</v>
      </c>
      <c r="AC19" s="134">
        <f t="shared" si="18"/>
        <v>2</v>
      </c>
      <c r="AD19" s="134">
        <f t="shared" si="18"/>
        <v>2</v>
      </c>
      <c r="AE19" s="134">
        <f t="shared" si="18"/>
        <v>4</v>
      </c>
      <c r="AF19" s="134">
        <f t="shared" si="18"/>
        <v>0</v>
      </c>
      <c r="AG19" s="134">
        <f t="shared" si="18"/>
        <v>129</v>
      </c>
      <c r="AH19" s="134">
        <f t="shared" si="18"/>
        <v>252</v>
      </c>
      <c r="AI19" s="134">
        <f t="shared" si="18"/>
        <v>287</v>
      </c>
      <c r="AJ19" s="134">
        <f t="shared" si="18"/>
        <v>118</v>
      </c>
      <c r="AK19" s="134">
        <f t="shared" si="18"/>
        <v>0</v>
      </c>
      <c r="AL19" s="134">
        <f t="shared" si="18"/>
        <v>4</v>
      </c>
      <c r="AM19" s="134">
        <f t="shared" si="18"/>
        <v>2</v>
      </c>
      <c r="AN19" s="210">
        <f t="shared" si="18"/>
        <v>2</v>
      </c>
      <c r="AO19" s="211">
        <v>6</v>
      </c>
      <c r="AP19" s="211">
        <v>6</v>
      </c>
      <c r="AQ19" s="211">
        <v>6</v>
      </c>
      <c r="AR19" s="211">
        <v>6</v>
      </c>
      <c r="AS19" s="153">
        <f t="shared" si="18"/>
        <v>0</v>
      </c>
      <c r="AT19" s="153">
        <f t="shared" si="18"/>
        <v>0</v>
      </c>
      <c r="AU19" s="211"/>
      <c r="AV19" s="212"/>
      <c r="AW19" s="211"/>
      <c r="AX19" s="212"/>
      <c r="AY19" s="133">
        <f>SUBTOTAL(9,AY9:AY18)</f>
        <v>4433</v>
      </c>
      <c r="AZ19" s="134">
        <f>SUBTOTAL(9,AZ9:AZ18)</f>
        <v>10269</v>
      </c>
      <c r="BA19" s="134">
        <f>SUBTOTAL(9,BA9:BA18)</f>
        <v>9537</v>
      </c>
      <c r="BB19" s="134">
        <f>SUBTOTAL(9,BB9:BB18)</f>
        <v>5172</v>
      </c>
      <c r="BC19" s="135">
        <f>SUBTOTAL(9,BC9:BC18)</f>
        <v>2229</v>
      </c>
      <c r="BD19" s="213">
        <f>IF(ISNUMBER(BA19/AZ19),BA19/AZ19," - ")</f>
        <v>0.92871749926964653</v>
      </c>
      <c r="BE19" s="210">
        <f>IF(ISNUMBER(BB19/BA19),BB19/BA19, " - ")</f>
        <v>0.54230890217049388</v>
      </c>
      <c r="BF19" s="210">
        <f>IF(ISNUMBER(BC19/BA19),BC19/BA19, " - ")</f>
        <v>0.23372129600503302</v>
      </c>
      <c r="BG19" s="135">
        <f>IF(ISNUMBER((AY19+AZ19)/BA19),(AY19+AZ19)/BA19," - ")</f>
        <v>1.5415749187375485</v>
      </c>
      <c r="BH19" s="211">
        <f>SUBTOTAL(9,BH9:BH18)</f>
        <v>12</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sAKZHQHidrcqQ/mgywPNJOqyqU/aqS0ekAyb6UMjUommd+GDimr2bAFJlCvZoN/WKPU3O3RX9KTtIRlFSWauQ==" saltValue="YUHSjLEGfdl+lYwQhEiCH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CASTELLON-CASTELLO</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iUcj3mkiceywK87mO4bFmI//o4zteCHmE39Avk9kEyvZYp9AljfzzNX7u87DKtbzVqelo3fyCZMJPomE+7F2A==" saltValue="vNTVEi7l6aWr+eIT64gCh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COMUNIDAD VALENCIANA</v>
      </c>
    </row>
    <row r="2" spans="1:78" ht="16.5" customHeight="1">
      <c r="C2" s="488" t="str">
        <f>Criterios!A10 &amp;"  "&amp;Criterios!B10 &amp; "  " &amp; IF(NOT(ISBLANK(Criterios!A11)),Criterios!A11 &amp;"  "&amp;Criterios!B11,"")</f>
        <v>Provincias  CASTELLON-CASTELLO  Resumenes por Partidos Judiciales  VILLARREAL-VILA-REAL</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1 al 4</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1200</v>
      </c>
      <c r="BZ9" s="1186">
        <f>Datos!EZ9</f>
        <v>0</v>
      </c>
    </row>
    <row r="10" spans="1:78" ht="14.25">
      <c r="A10" s="501">
        <f>Datos!AO10</f>
        <v>1</v>
      </c>
      <c r="B10" s="507" t="s">
        <v>246</v>
      </c>
      <c r="C10" s="7" t="str">
        <f>Datos!A10</f>
        <v>Jdos. Violencia contra la mujer</v>
      </c>
      <c r="D10" s="508"/>
      <c r="E10" s="260">
        <f>IF(ISNUMBER(Datos!AQ10),Datos!AQ10," - ")</f>
        <v>1</v>
      </c>
      <c r="F10" s="225">
        <f>IF(ISNUMBER(Datos!L10+Datos!K10-Datos!J10),Datos!L10+Datos!K10-Datos!J10," - ")</f>
        <v>112</v>
      </c>
      <c r="G10" s="333">
        <f>IF(ISNUMBER(Datos!I10),Datos!I10," - ")</f>
        <v>112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53</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162</v>
      </c>
      <c r="AC10" s="226">
        <f>IF(ISNUMBER(Datos!Q10),Datos!Q10," - ")</f>
        <v>61</v>
      </c>
      <c r="AD10" s="334"/>
      <c r="AE10" s="484"/>
      <c r="AF10" s="332">
        <f>IF(ISNUMBER(Datos!L10),Datos!L10,"-")</f>
        <v>95</v>
      </c>
      <c r="AG10" s="334"/>
      <c r="AH10" s="334"/>
      <c r="AI10" s="334"/>
      <c r="AJ10" s="334"/>
      <c r="AK10" s="334"/>
      <c r="AL10" s="479"/>
      <c r="AM10" s="335">
        <f>IF(ISNUMBER(Datos!R10),Datos!R10," - ")</f>
        <v>33</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95</v>
      </c>
      <c r="BD10" s="229">
        <f>IF(ISNUMBER(Datos!N10),Datos!N10," - ")</f>
        <v>58</v>
      </c>
      <c r="BE10" s="229" t="str">
        <f>IF(ISNUMBER(Datos!BW10),Datos!BW10," - ")</f>
        <v xml:space="preserve"> - </v>
      </c>
      <c r="BF10" s="228" t="str">
        <f>IF(ISNUMBER(Datos!BX10),Datos!BX10," - ")</f>
        <v xml:space="preserve"> - </v>
      </c>
      <c r="BG10" s="243">
        <f>IF(ISNUMBER(Datos!K10/Datos!J10),Datos!K10/Datos!J10," - ")</f>
        <v>1.1172413793103448</v>
      </c>
      <c r="BH10" s="260">
        <f>IF(ISNUMBER(((Datos!L10/Datos!K10)*11)/factor_trimestre),((Datos!L10/Datos!K10)*11)/factor_trimestre," - ")</f>
        <v>6.450617283950618</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-0.1951219512195122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1600</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1323</v>
      </c>
      <c r="BZ11" s="1186">
        <f>Datos!EZ11</f>
        <v>0</v>
      </c>
    </row>
    <row r="12" spans="1:78" ht="15" thickBot="1">
      <c r="A12" s="501">
        <f>Datos!AO12</f>
        <v>5</v>
      </c>
      <c r="B12" s="507" t="s">
        <v>246</v>
      </c>
      <c r="C12" s="7" t="str">
        <f>Datos!A12</f>
        <v xml:space="preserve">Jdos. 1ª Instª. e Instr.                        </v>
      </c>
      <c r="D12" s="508"/>
      <c r="E12" s="260">
        <f>IF(ISNUMBER(Datos!AQ12),Datos!AQ12," - ")</f>
        <v>5</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217</v>
      </c>
      <c r="O12" s="334"/>
      <c r="P12" s="334"/>
      <c r="Q12" s="226">
        <f>IF(ISNUMBER(Datos!P12),Datos!P12,0)</f>
        <v>790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520</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135</v>
      </c>
      <c r="AI12" s="334" t="str">
        <f>IF(ISNUMBER(Datos!CD12),Datos!CD12,"-")</f>
        <v>-</v>
      </c>
      <c r="AJ12" s="334" t="str">
        <f>IF(ISNUMBER(Datos!EN12),Datos!EN12," - ")</f>
        <v xml:space="preserve"> - </v>
      </c>
      <c r="AK12" s="334"/>
      <c r="AL12" s="479"/>
      <c r="AM12" s="335">
        <f>IF(ISNUMBER(Datos!R12),Datos!R12," - ")</f>
        <v>5124</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695</v>
      </c>
      <c r="BD12" s="229">
        <f>IF(ISNUMBER(Datos!N12),Datos!N12," - ")</f>
        <v>1390</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0.86269430051813467</v>
      </c>
      <c r="BH12" s="260">
        <f>IF(ISNUMBER(((IF(J_V="SI",Datos!L12/Datos!K12,(Datos!L12+Datos!AB12)/(Datos!K12+Datos!AA12)))*11)/factor_trimestre),((IF(J_V="SI",Datos!L12/Datos!K12,(Datos!L12+Datos!AB12)/(Datos!K12+Datos!AA12)))*11)/factor_trimestre," - ")</f>
        <v>12.456756756756757</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5.5624227441285541E-2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680</v>
      </c>
      <c r="BZ12" s="1186">
        <f>Datos!EZ12</f>
        <v>0</v>
      </c>
    </row>
    <row r="13" spans="1:78" ht="15.75" thickTop="1" thickBot="1">
      <c r="A13" s="178"/>
      <c r="B13" s="178"/>
      <c r="C13" s="863" t="str">
        <f>Datos!A13</f>
        <v>TOTAL</v>
      </c>
      <c r="D13" s="897"/>
      <c r="E13" s="1164">
        <f t="shared" ref="E13:Z13" si="0">SUBTOTAL(9,E8:E12)</f>
        <v>6</v>
      </c>
      <c r="F13" s="898">
        <f t="shared" si="0"/>
        <v>112</v>
      </c>
      <c r="G13" s="898">
        <f t="shared" si="0"/>
        <v>112</v>
      </c>
      <c r="H13" s="899">
        <f t="shared" si="0"/>
        <v>0</v>
      </c>
      <c r="I13" s="898">
        <f t="shared" si="0"/>
        <v>0</v>
      </c>
      <c r="J13" s="867">
        <f t="shared" si="0"/>
        <v>0</v>
      </c>
      <c r="K13" s="867">
        <f t="shared" si="0"/>
        <v>0</v>
      </c>
      <c r="L13" s="899">
        <f t="shared" si="0"/>
        <v>0</v>
      </c>
      <c r="M13" s="899">
        <f t="shared" si="0"/>
        <v>0</v>
      </c>
      <c r="N13" s="899">
        <f t="shared" si="0"/>
        <v>217</v>
      </c>
      <c r="O13" s="900">
        <f t="shared" si="0"/>
        <v>0</v>
      </c>
      <c r="P13" s="900">
        <f t="shared" si="0"/>
        <v>0</v>
      </c>
      <c r="Q13" s="899">
        <f t="shared" si="0"/>
        <v>843</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162</v>
      </c>
      <c r="AC13" s="899">
        <f t="shared" si="1"/>
        <v>581</v>
      </c>
      <c r="AD13" s="899">
        <f t="shared" si="1"/>
        <v>0</v>
      </c>
      <c r="AE13" s="899">
        <f t="shared" si="1"/>
        <v>0</v>
      </c>
      <c r="AF13" s="899">
        <f t="shared" si="1"/>
        <v>95</v>
      </c>
      <c r="AG13" s="899">
        <f t="shared" si="1"/>
        <v>0</v>
      </c>
      <c r="AH13" s="899">
        <f t="shared" si="1"/>
        <v>135</v>
      </c>
      <c r="AI13" s="899">
        <f t="shared" si="1"/>
        <v>0</v>
      </c>
      <c r="AJ13" s="899">
        <f t="shared" si="1"/>
        <v>0</v>
      </c>
      <c r="AK13" s="899">
        <f t="shared" si="1"/>
        <v>0</v>
      </c>
      <c r="AL13" s="899">
        <f t="shared" si="1"/>
        <v>0</v>
      </c>
      <c r="AM13" s="899">
        <f t="shared" si="1"/>
        <v>5157</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790</v>
      </c>
      <c r="BD13" s="899">
        <f t="shared" si="1"/>
        <v>1448</v>
      </c>
      <c r="BE13" s="899">
        <f t="shared" si="1"/>
        <v>0</v>
      </c>
      <c r="BF13" s="899">
        <f t="shared" si="1"/>
        <v>0</v>
      </c>
      <c r="BG13" s="899">
        <f>IF(ISNUMBER(Datos!K13/Datos!J13),Datos!K13/Datos!J13," - ")</f>
        <v>0.86800422386483633</v>
      </c>
      <c r="BH13" s="903">
        <f>IF(ISNUMBER(((Datos!L13/Datos!K13)*11)/factor_trimestre),((Datos!L13/Datos!K13)*11)/factor_trimestre," - ")</f>
        <v>12.482055961070559</v>
      </c>
      <c r="BI13" s="899">
        <f>IF(ISNUMBER('Resol  Asuntos'!D13/NºAsuntos!G13),'Resol  Asuntos'!D13/NºAsuntos!G13," - ")</f>
        <v>0.22623138602520046</v>
      </c>
      <c r="BJ13" s="899" t="str">
        <f>IF(ISNUMBER(Datos!CI13/Datos!CJ13),Datos!CI13/Datos!CJ13," - ")</f>
        <v xml:space="preserve"> - </v>
      </c>
      <c r="BK13" s="899">
        <f>SUBTOTAL(9,BK8:BK12)</f>
        <v>0</v>
      </c>
      <c r="BL13" s="899">
        <f>IF(ISNUMBER((I13-AB13+L13)/(F13)),(I13-AB13+L13)/(F13)," - ")</f>
        <v>-1.4464285714285714</v>
      </c>
      <c r="BM13" s="904">
        <f>SUBTOTAL(9,BM9:BM12)</f>
        <v>-0.13949772377822667</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4803</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3300</v>
      </c>
      <c r="BZ15" s="1186">
        <f>Datos!EZ15</f>
        <v>0</v>
      </c>
    </row>
    <row r="16" spans="1:78" s="599" customFormat="1" ht="14.25">
      <c r="A16" s="593">
        <f>Datos!AO16</f>
        <v>5</v>
      </c>
      <c r="B16" s="594" t="s">
        <v>396</v>
      </c>
      <c r="C16" s="600" t="str">
        <f>Datos!A16</f>
        <v xml:space="preserve">Jdos. 1ª Instª. e Instr.                        </v>
      </c>
      <c r="D16" s="601"/>
      <c r="E16" s="1165">
        <f>IF(ISNUMBER(Datos!AQ16),Datos!AQ16," - ")</f>
        <v>5</v>
      </c>
      <c r="F16" s="595">
        <f>IF(ISNUMBER(AF16+AB16-Datos!J16-L16),AF16+AB16-Datos!J16-L16," - ")</f>
        <v>1202</v>
      </c>
      <c r="G16" s="598">
        <f>IF(ISNUMBER(IF(D_I="SI",Datos!I16,Datos!I16+Datos!AC16)),IF(D_I="SI",Datos!I16,Datos!I16+Datos!AC16)," - ")</f>
        <v>1194</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171</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3829</v>
      </c>
      <c r="AC16" s="226">
        <f>IF(ISNUMBER(Datos!Q16),Datos!Q16," - ")</f>
        <v>113</v>
      </c>
      <c r="AD16" s="334"/>
      <c r="AE16" s="484"/>
      <c r="AF16" s="596">
        <f>IF(ISNUMBER(IF(D_I="SI",Datos!L16,Datos!L16+Datos!AF16)),IF(D_I="SI",Datos!L16,Datos!L16+Datos!AF16)," - ")</f>
        <v>1227</v>
      </c>
      <c r="AG16" s="334"/>
      <c r="AH16" s="334"/>
      <c r="AI16" s="334"/>
      <c r="AJ16" s="334"/>
      <c r="AK16" s="334"/>
      <c r="AL16" s="479"/>
      <c r="AM16" s="335">
        <f>IF(ISNUMBER(Datos!R16),Datos!R16," - ")</f>
        <v>260</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567</v>
      </c>
      <c r="BD16" s="229">
        <f>IF(ISNUMBER(Datos!N16),Datos!N16," - ")</f>
        <v>2093</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0.99351323300467043</v>
      </c>
      <c r="BH16" s="260">
        <f>IF(ISNUMBER(((IF(D_I="SI",Datos!L16/Datos!K16,(Datos!L16+Datos!AF16)/(Datos!K16+Datos!AE16)))*11)/factor_trimestre),((IF(D_I="SI",Datos!L16/Datos!K16,(Datos!L16+Datos!AF16)/(Datos!K16+Datos!AE16)))*11)/factor_trimestre," - ")</f>
        <v>3.5249412379211287</v>
      </c>
      <c r="BI16" s="243">
        <f>IF(ISNUMBER('Resol  Asuntos'!D16/NºAsuntos!G16),'Resol  Asuntos'!D16/NºAsuntos!G16," - ")</f>
        <v>0.14808043875685559</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1000</v>
      </c>
      <c r="BZ16" s="1186">
        <f>Datos!EZ16</f>
        <v>0</v>
      </c>
    </row>
    <row r="17" spans="1:78" ht="15" thickBot="1">
      <c r="A17" s="501">
        <f>Datos!AO17</f>
        <v>1</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659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18</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1329</v>
      </c>
      <c r="AC17" s="226">
        <f>IF(ISNUMBER(Datos!Q17),Datos!Q17," - ")</f>
        <v>14</v>
      </c>
      <c r="AD17" s="334"/>
      <c r="AE17" s="484"/>
      <c r="AF17" s="332">
        <f>IF(ISNUMBER(Datos!L17),Datos!L17,"-")</f>
        <v>585</v>
      </c>
      <c r="AG17" s="334"/>
      <c r="AH17" s="334"/>
      <c r="AI17" s="334"/>
      <c r="AJ17" s="334"/>
      <c r="AK17" s="334"/>
      <c r="AL17" s="479"/>
      <c r="AM17" s="335">
        <f>IF(ISNUMBER(Datos!R17),Datos!R17," - ")</f>
        <v>13</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232</v>
      </c>
      <c r="BD17" s="229">
        <f>IF(ISNUMBER(Datos!N17),Datos!N17," - ")</f>
        <v>757</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1.0589641434262949</v>
      </c>
      <c r="BH17" s="260">
        <f>IF(ISNUMBER(((IF(D_I="SI",Datos!L17/Datos!K17,(Datos!L17+Datos!AF17)/(Datos!K17+Datos!AE17)))*11)/factor_trimestre),((IF(D_I="SI",Datos!L17/Datos!K17,(Datos!L17+Datos!AF17)/(Datos!K17+Datos!AE17)))*11)/factor_trimestre," - ")</f>
        <v>4.8419864559819414</v>
      </c>
      <c r="BI17" s="243">
        <f>IF(ISNUMBER('Resol  Asuntos'!D17/NºAsuntos!G17),'Resol  Asuntos'!D17/NºAsuntos!G17," - ")</f>
        <v>0.17456734386756961</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1600</v>
      </c>
      <c r="BZ17" s="1186">
        <f>Datos!EZ17</f>
        <v>0</v>
      </c>
    </row>
    <row r="18" spans="1:78" ht="15.75" thickTop="1" thickBot="1">
      <c r="A18" s="178"/>
      <c r="B18" s="178"/>
      <c r="C18" s="863" t="str">
        <f>Datos!A18</f>
        <v>TOTAL</v>
      </c>
      <c r="D18" s="897"/>
      <c r="E18" s="1164">
        <f>SUBTOTAL(9,E15:E17)</f>
        <v>6</v>
      </c>
      <c r="F18" s="898">
        <f>SUBTOTAL(9,F15:F17)</f>
        <v>1202</v>
      </c>
      <c r="G18" s="898">
        <f>SUBTOTAL(9,G15:G17)</f>
        <v>1853</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189</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5158</v>
      </c>
      <c r="AC18" s="899">
        <f t="shared" si="4"/>
        <v>127</v>
      </c>
      <c r="AD18" s="899">
        <f t="shared" si="4"/>
        <v>0</v>
      </c>
      <c r="AE18" s="899">
        <f t="shared" si="4"/>
        <v>0</v>
      </c>
      <c r="AF18" s="899">
        <f t="shared" si="4"/>
        <v>1812</v>
      </c>
      <c r="AG18" s="899">
        <f t="shared" si="4"/>
        <v>0</v>
      </c>
      <c r="AH18" s="899">
        <f t="shared" si="4"/>
        <v>0</v>
      </c>
      <c r="AI18" s="899">
        <f t="shared" si="4"/>
        <v>0</v>
      </c>
      <c r="AJ18" s="899">
        <f t="shared" si="4"/>
        <v>0</v>
      </c>
      <c r="AK18" s="899">
        <f t="shared" si="4"/>
        <v>0</v>
      </c>
      <c r="AL18" s="899">
        <f t="shared" si="4"/>
        <v>0</v>
      </c>
      <c r="AM18" s="899">
        <f t="shared" si="4"/>
        <v>273</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799</v>
      </c>
      <c r="BD18" s="899">
        <f t="shared" si="4"/>
        <v>2850</v>
      </c>
      <c r="BE18" s="899">
        <f t="shared" si="4"/>
        <v>0</v>
      </c>
      <c r="BF18" s="899">
        <f t="shared" si="4"/>
        <v>0</v>
      </c>
      <c r="BG18" s="899">
        <f>IF(ISNUMBER(Datos!K18/Datos!J18),Datos!K18/Datos!J18," - ")</f>
        <v>1.0095909179878646</v>
      </c>
      <c r="BH18" s="903">
        <f>IF(ISNUMBER(((Datos!L18/Datos!K18)*11)/factor_trimestre),((Datos!L18/Datos!K18)*11)/factor_trimestre," - ")</f>
        <v>3.8642884839084912</v>
      </c>
      <c r="BI18" s="899">
        <f>SUBTOTAL(9,BI15:BI17)</f>
        <v>0.32264778262442517</v>
      </c>
      <c r="BJ18" s="899">
        <f>SUBTOTAL(9,BJ15:BJ17)</f>
        <v>0</v>
      </c>
      <c r="BK18" s="899">
        <f>SUBTOTAL(9,BK15:BK17)</f>
        <v>0</v>
      </c>
      <c r="BL18" s="899">
        <f>IF(ISNUMBER((I18-AB18+L18)/(F18)),(I18-AB18+L18)/(F18)," - ")</f>
        <v>-4.2911813643926786</v>
      </c>
      <c r="BM18" s="905">
        <f>IF(ISNUMBER((Datos!P18-Datos!Q18)/(Datos!R18-Datos!P18+Datos!Q18)),(Datos!P18-Datos!Q18)/(Datos!R18-Datos!P18+Datos!Q18)," - ")</f>
        <v>0.29383886255924169</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5900</v>
      </c>
      <c r="BZ18" s="1186"/>
    </row>
    <row r="19" spans="1:78" ht="18.75" customHeight="1" thickTop="1" thickBot="1">
      <c r="A19" s="172"/>
      <c r="B19" s="172"/>
      <c r="C19" s="818" t="str">
        <f>Datos!A19</f>
        <v>TOTAL JURISDICCIONES</v>
      </c>
      <c r="D19" s="818"/>
      <c r="E19" s="1166">
        <f t="shared" ref="E19:R19" si="6">SUBTOTAL(9,E9:E18)</f>
        <v>12</v>
      </c>
      <c r="F19" s="820">
        <f t="shared" si="6"/>
        <v>1314</v>
      </c>
      <c r="G19" s="820">
        <f t="shared" si="6"/>
        <v>1965</v>
      </c>
      <c r="H19" s="822">
        <f t="shared" si="6"/>
        <v>0</v>
      </c>
      <c r="I19" s="820">
        <f t="shared" si="6"/>
        <v>0</v>
      </c>
      <c r="J19" s="822">
        <f t="shared" si="6"/>
        <v>0</v>
      </c>
      <c r="K19" s="822">
        <f t="shared" si="6"/>
        <v>0</v>
      </c>
      <c r="L19" s="881">
        <f t="shared" si="6"/>
        <v>0</v>
      </c>
      <c r="M19" s="881">
        <f t="shared" si="6"/>
        <v>0</v>
      </c>
      <c r="N19" s="881">
        <f t="shared" si="6"/>
        <v>217</v>
      </c>
      <c r="O19" s="881">
        <f t="shared" si="6"/>
        <v>0</v>
      </c>
      <c r="P19" s="881">
        <f t="shared" si="6"/>
        <v>0</v>
      </c>
      <c r="Q19" s="822">
        <f t="shared" si="6"/>
        <v>1032</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5320</v>
      </c>
      <c r="AC19" s="821">
        <f t="shared" si="7"/>
        <v>708</v>
      </c>
      <c r="AD19" s="821">
        <f t="shared" si="7"/>
        <v>0</v>
      </c>
      <c r="AE19" s="821">
        <f t="shared" si="7"/>
        <v>0</v>
      </c>
      <c r="AF19" s="828">
        <f t="shared" si="7"/>
        <v>1907</v>
      </c>
      <c r="AG19" s="828">
        <f t="shared" si="7"/>
        <v>0</v>
      </c>
      <c r="AH19" s="828">
        <f t="shared" si="7"/>
        <v>135</v>
      </c>
      <c r="AI19" s="828">
        <f t="shared" si="7"/>
        <v>0</v>
      </c>
      <c r="AJ19" s="821">
        <f t="shared" si="7"/>
        <v>0</v>
      </c>
      <c r="AK19" s="828">
        <f t="shared" si="7"/>
        <v>0</v>
      </c>
      <c r="AL19" s="828">
        <f t="shared" si="7"/>
        <v>0</v>
      </c>
      <c r="AM19" s="828">
        <f t="shared" si="7"/>
        <v>5430</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1589</v>
      </c>
      <c r="BD19" s="820">
        <f t="shared" si="7"/>
        <v>4298</v>
      </c>
      <c r="BE19" s="820">
        <f t="shared" si="7"/>
        <v>0</v>
      </c>
      <c r="BF19" s="830">
        <f t="shared" si="7"/>
        <v>0</v>
      </c>
      <c r="BG19" s="915">
        <f>IF(ISNUMBER(Datos!K19/Datos!J19),Datos!K19/Datos!J19," - ")</f>
        <v>0.94930875576036866</v>
      </c>
      <c r="BH19" s="915">
        <f>IF(ISNUMBER(((Datos!L19/Datos!K19)*11)/factor_trimestre),((Datos!L19/Datos!K19)*11)/factor_trimestre," - ")</f>
        <v>7.2191569973952161</v>
      </c>
      <c r="BI19" s="813">
        <f>IF(ISNUMBER(Datos!J19/Datos!I19),Datos!J19/Datos!I19," - ")</f>
        <v>1.760387811634349</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-4.0487062404870624</v>
      </c>
      <c r="BM19" s="889">
        <f>IF(ISNUMBER((Datos!P19-Datos!Q19+R19)/(Datos!R19-Datos!P19+Datos!Q19-R19)),(Datos!P19-Datos!Q19+R19)/(Datos!R19-Datos!P19+Datos!Q19-R19)," - ")</f>
        <v>6.3454759106933017E-2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10703</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786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2.7386127875258306</v>
      </c>
      <c r="F21" s="551">
        <f>IF(ISNUMBER(STDEV(F8:F18)),STDEV(F8:F18),"-")</f>
        <v>629.31179341669201</v>
      </c>
      <c r="G21" s="552">
        <f>IF(ISNUMBER(STDEV(G8:G18)),STDEV(G8:G18),"-")</f>
        <v>746.5979507070723</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2260.6975693356244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298.85894108536667</v>
      </c>
      <c r="BD21" s="551"/>
      <c r="BE21" s="551">
        <f>IF(ISNUMBER(STDEV(BE8:BE18)),STDEV(BE8:BE18),"-")</f>
        <v>0</v>
      </c>
      <c r="BF21" s="556">
        <f>IF(ISNUMBER(STDEV(BF8:BF18)),STDEV(BF8:BF18),"-")</f>
        <v>0</v>
      </c>
      <c r="BG21" s="775">
        <f>IF(ISNUMBER(STDEV(BG8:BG18)),STDEV(BG8:BG18),"-")</f>
        <v>0.10225689321154041</v>
      </c>
      <c r="BH21" s="776">
        <f>IF(ISNUMBER(STDEV(BH8:BH18)),STDEV(BH8:BH18),"-")</f>
        <v>4.1535273393360379</v>
      </c>
      <c r="BI21" s="249">
        <f>IF(ISNUMBER(STDEV(BI8:BI18)),STDEV(BI8:BI18),"-")</f>
        <v>7.7015147521948046E-2</v>
      </c>
      <c r="BJ21" s="230" t="str">
        <f>IF(ISNUMBER(BL21/BM21),BL21/BM21," - ")</f>
        <v xml:space="preserve"> - </v>
      </c>
      <c r="BK21" s="575"/>
      <c r="BL21" s="559">
        <f>IF(ISNUMBER(STDEV(BL8:BL18)),STDEV(BL8:BL18),"-")</f>
        <v>2.0115439907042916</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1858.3781982626083</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28 feb. 2025</v>
      </c>
    </row>
    <row r="32" spans="1:78">
      <c r="C32" s="527"/>
      <c r="D32" s="527"/>
    </row>
  </sheetData>
  <sheetProtection algorithmName="SHA-512" hashValue="S/dHb15urlwOzIki2dbexdZnfaH9iaRcr1gqRZ88fxFkAme7X0N2WLrqzI29qFxBSQrmwB+nK175bH/r7tXCUA==" saltValue="ffiWTWB14fYQIHTPG3yJq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COMUNIDAD VALENCIANA</v>
      </c>
    </row>
    <row r="2" spans="1:78" ht="16.5" customHeight="1">
      <c r="C2" s="528" t="str">
        <f>Criterios!A10 &amp;"  "&amp;Criterios!B10 &amp; "  " &amp; IF(NOT(ISBLANK(Criterios!A11)),Criterios!A11 &amp;"  "&amp;Criterios!B11,"")</f>
        <v>Provincias  CASTELLON-CASTELLO  Resumenes por Partidos Judiciales  VILLARREAL-VILA-REAL</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1 al 4</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1200</v>
      </c>
      <c r="BZ9" s="1186">
        <f>Datos!EZ9</f>
        <v>0</v>
      </c>
    </row>
    <row r="10" spans="1:78" ht="14.25">
      <c r="A10" s="501">
        <f>Datos!AO10</f>
        <v>1</v>
      </c>
      <c r="B10" s="507" t="s">
        <v>246</v>
      </c>
      <c r="C10" s="7" t="str">
        <f>Datos!A10</f>
        <v>Jdos. Violencia contra la mujer</v>
      </c>
      <c r="D10" s="508"/>
      <c r="E10" s="1168">
        <f>IF(ISNUMBER(Datos!AQ10),Datos!AQ10," - ")</f>
        <v>1</v>
      </c>
      <c r="F10" s="225">
        <f>IF(ISNUMBER(Datos!L10+Datos!K10-Datos!J10),Datos!L10+Datos!K10-Datos!J10," - ")</f>
        <v>112</v>
      </c>
      <c r="G10" s="225">
        <f>IF(ISNUMBER(Datos!I10),Datos!I10," - ")</f>
        <v>112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53</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162</v>
      </c>
      <c r="Z10" s="619">
        <f>IF(ISNUMBER(Datos!Q10),Datos!Q10," - ")</f>
        <v>61</v>
      </c>
      <c r="AA10" s="332">
        <f>IF(ISNUMBER(Datos!L10),Datos!L10,"-")</f>
        <v>95</v>
      </c>
      <c r="AB10" s="334"/>
      <c r="AC10" s="334"/>
      <c r="AD10" s="484"/>
      <c r="AE10" s="484">
        <f>IF(ISNUMBER(Datos!R10),Datos!R10," - ")</f>
        <v>33</v>
      </c>
      <c r="AF10" s="229" t="str">
        <f>IF(ISNUMBER(Datos!BV10),Datos!BV10," - ")</f>
        <v xml:space="preserve"> - </v>
      </c>
      <c r="AG10" s="225" t="str">
        <f>IF(ISNUMBER(Datos!DV10),Datos!DV10," - ")</f>
        <v xml:space="preserve"> - </v>
      </c>
      <c r="AH10" s="298"/>
      <c r="AI10" s="227"/>
      <c r="AJ10" s="225">
        <f>IF(ISNUMBER(Datos!M10),Datos!M10," - ")</f>
        <v>95</v>
      </c>
      <c r="AK10" s="229">
        <f>IF(ISNUMBER(Datos!N10),Datos!N10," - ")</f>
        <v>58</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6.450617283950618</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-0.1951219512195122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1600</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1323</v>
      </c>
      <c r="BZ11" s="1186">
        <f>Datos!EZ11</f>
        <v>0</v>
      </c>
    </row>
    <row r="12" spans="1:78" ht="15" thickBot="1">
      <c r="A12" s="501">
        <f>Datos!AO12</f>
        <v>5</v>
      </c>
      <c r="B12" s="507" t="s">
        <v>246</v>
      </c>
      <c r="C12" s="7" t="str">
        <f>Datos!A12</f>
        <v xml:space="preserve">Jdos. 1ª Instª. e Instr.                        </v>
      </c>
      <c r="D12" s="508"/>
      <c r="E12" s="1168">
        <f>IF(ISNUMBER(Datos!AQ12),Datos!AQ12," - ")</f>
        <v>5</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790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520</v>
      </c>
      <c r="AA12" s="332" t="str">
        <f>IF(ISNUMBER(IF(J_V="SI",Datos!L12,Datos!L12+Datos!AB12)-IF(Monitorios="SI",Datos!CD12,0)),
                          IF(J_V="SI",Datos!L12,Datos!L12+Datos!AB12)-IF(Monitorios="SI",Datos!CD12,0),
                          " - ")</f>
        <v xml:space="preserve"> - </v>
      </c>
      <c r="AB12" s="334"/>
      <c r="AC12" s="334"/>
      <c r="AD12" s="484"/>
      <c r="AE12" s="484">
        <f>IF(ISNUMBER(Datos!R12),Datos!R12," - ")</f>
        <v>5124</v>
      </c>
      <c r="AF12" s="229" t="str">
        <f>IF(ISNUMBER(Datos!BV12),Datos!BV12," - ")</f>
        <v xml:space="preserve"> - </v>
      </c>
      <c r="AG12" s="225" t="str">
        <f>IF(ISNUMBER(Datos!DV12),Datos!DV12," - ")</f>
        <v xml:space="preserve"> - </v>
      </c>
      <c r="AH12" s="298"/>
      <c r="AI12" s="227"/>
      <c r="AJ12" s="225">
        <f>IF(ISNUMBER(Datos!M12),Datos!M12," - ")</f>
        <v>695</v>
      </c>
      <c r="AK12" s="229">
        <f>IF(ISNUMBER(Datos!N12),Datos!N12," - ")</f>
        <v>1390</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12.456756756756757</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5.5624227441285541E-2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680</v>
      </c>
      <c r="BZ12" s="1186">
        <f>Datos!EZ12</f>
        <v>0</v>
      </c>
    </row>
    <row r="13" spans="1:78" ht="15.75" thickTop="1" thickBot="1">
      <c r="A13" s="178"/>
      <c r="B13" s="178"/>
      <c r="C13" s="863" t="str">
        <f>Datos!A13</f>
        <v>TOTAL</v>
      </c>
      <c r="D13" s="863"/>
      <c r="E13" s="898">
        <f>SUBTOTAL(9,E8:E12)</f>
        <v>6</v>
      </c>
      <c r="F13" s="898">
        <f>SUBTOTAL(9,F8:F12)</f>
        <v>112</v>
      </c>
      <c r="G13" s="898">
        <f>SUBTOTAL(9,G8:G12)</f>
        <v>112</v>
      </c>
      <c r="H13" s="908"/>
      <c r="I13" s="898">
        <f t="shared" ref="I13:N13" si="0">SUBTOTAL(9,I8:I12)</f>
        <v>0</v>
      </c>
      <c r="J13" s="867">
        <f t="shared" si="0"/>
        <v>0</v>
      </c>
      <c r="K13" s="908">
        <f t="shared" si="0"/>
        <v>0</v>
      </c>
      <c r="L13" s="908">
        <f t="shared" si="0"/>
        <v>0</v>
      </c>
      <c r="M13" s="908">
        <f t="shared" si="0"/>
        <v>0</v>
      </c>
      <c r="N13" s="908">
        <f t="shared" si="0"/>
        <v>843</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162</v>
      </c>
      <c r="Z13" s="907">
        <f t="shared" si="2"/>
        <v>581</v>
      </c>
      <c r="AA13" s="900">
        <f t="shared" si="2"/>
        <v>95</v>
      </c>
      <c r="AB13" s="900">
        <f t="shared" si="2"/>
        <v>0</v>
      </c>
      <c r="AC13" s="900">
        <f t="shared" si="2"/>
        <v>0</v>
      </c>
      <c r="AD13" s="900">
        <f t="shared" si="2"/>
        <v>0</v>
      </c>
      <c r="AE13" s="900">
        <f t="shared" si="2"/>
        <v>5157</v>
      </c>
      <c r="AF13" s="908">
        <f t="shared" si="2"/>
        <v>0</v>
      </c>
      <c r="AG13" s="908">
        <f t="shared" si="2"/>
        <v>0</v>
      </c>
      <c r="AH13" s="908">
        <f t="shared" si="2"/>
        <v>0</v>
      </c>
      <c r="AI13" s="908">
        <f t="shared" si="2"/>
        <v>0</v>
      </c>
      <c r="AJ13" s="908">
        <f t="shared" si="2"/>
        <v>790</v>
      </c>
      <c r="AK13" s="908">
        <f t="shared" si="2"/>
        <v>1448</v>
      </c>
      <c r="AL13" s="908">
        <f t="shared" si="2"/>
        <v>0</v>
      </c>
      <c r="AM13" s="908">
        <f t="shared" si="2"/>
        <v>0</v>
      </c>
      <c r="AN13" s="908">
        <f t="shared" si="2"/>
        <v>0</v>
      </c>
      <c r="AO13" s="904">
        <f>IF(ISNUMBER(((NºAsuntos!I13/NºAsuntos!G13)*11)/factor_trimestre),((NºAsuntos!I13/NºAsuntos!G13)*11)/factor_trimestre," - ")</f>
        <v>12.178121420389463</v>
      </c>
      <c r="AP13" s="910" t="str">
        <f>IF(ISNUMBER(Datos!CI13/Datos!CJ13),Datos!CI13/Datos!CJ13," - ")</f>
        <v xml:space="preserve"> - </v>
      </c>
      <c r="AQ13" s="928">
        <f t="shared" ref="AQ13:AV13" si="3">SUBTOTAL(9,AQ9:AQ12)</f>
        <v>0</v>
      </c>
      <c r="AR13" s="928">
        <f t="shared" si="3"/>
        <v>-0.13949772377822667</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3300</v>
      </c>
      <c r="BZ15" s="1186">
        <f>Datos!EZ15</f>
        <v>0</v>
      </c>
    </row>
    <row r="16" spans="1:78" ht="14.25">
      <c r="A16" s="501">
        <f>Datos!AO16</f>
        <v>5</v>
      </c>
      <c r="B16" s="507" t="s">
        <v>396</v>
      </c>
      <c r="C16" s="160" t="str">
        <f>Datos!A16</f>
        <v xml:space="preserve">Jdos. 1ª Instª. e Instr.                        </v>
      </c>
      <c r="D16" s="502"/>
      <c r="E16" s="1168">
        <f>IF(ISNUMBER(Datos!AQ16),Datos!AQ16," - ")</f>
        <v>5</v>
      </c>
      <c r="F16" s="333">
        <f>IF(ISNUMBER(AA16+Y16-Datos!J16-K15),AA16+Y16-Datos!J16-K15," - ")</f>
        <v>1202</v>
      </c>
      <c r="G16" s="225">
        <f>IF(ISNUMBER(IF(D_I="SI",Datos!I16,Datos!I16+Datos!AC16)),IF(D_I="SI",Datos!I16,Datos!I16+Datos!AC16)," - ")</f>
        <v>1194</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171</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3829</v>
      </c>
      <c r="Z16" s="619">
        <f>IF(ISNUMBER(Datos!Q16),Datos!Q16," - ")</f>
        <v>113</v>
      </c>
      <c r="AA16" s="332">
        <f>IF(ISNUMBER(IF(D_I="SI",Datos!L16,Datos!L16+Datos!AF16)),IF(D_I="SI",Datos!L16,Datos!L16+Datos!AF16)," - ")</f>
        <v>1227</v>
      </c>
      <c r="AB16" s="334"/>
      <c r="AC16" s="334"/>
      <c r="AD16" s="484"/>
      <c r="AE16" s="484">
        <f>IF(ISNUMBER(Datos!R16),Datos!R16," - ")</f>
        <v>260</v>
      </c>
      <c r="AF16" s="229" t="str">
        <f>IF(ISNUMBER(Datos!BV16),Datos!BV16," - ")</f>
        <v xml:space="preserve"> - </v>
      </c>
      <c r="AG16" s="225"/>
      <c r="AH16" s="298"/>
      <c r="AI16" s="227"/>
      <c r="AJ16" s="225">
        <f>IF(ISNUMBER(Datos!M16),Datos!M16," - ")</f>
        <v>567</v>
      </c>
      <c r="AK16" s="229">
        <f>IF(ISNUMBER(Datos!N16),Datos!N16," - ")</f>
        <v>2093</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3.5249412379211287</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1000</v>
      </c>
      <c r="BZ16" s="1186">
        <f>Datos!EZ16</f>
        <v>0</v>
      </c>
    </row>
    <row r="17" spans="1:78" ht="15" thickBot="1">
      <c r="A17" s="501">
        <f>Datos!AO17</f>
        <v>1</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659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18</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1329</v>
      </c>
      <c r="Z17" s="619">
        <f>IF(ISNUMBER(Datos!Q17),Datos!Q17," - ")</f>
        <v>14</v>
      </c>
      <c r="AA17" s="332">
        <f>IF(ISNUMBER(Datos!L17),Datos!L17,"-")</f>
        <v>585</v>
      </c>
      <c r="AB17" s="334"/>
      <c r="AC17" s="334"/>
      <c r="AD17" s="484"/>
      <c r="AE17" s="484">
        <f>IF(ISNUMBER(Datos!R17),Datos!R17," - ")</f>
        <v>13</v>
      </c>
      <c r="AF17" s="229" t="str">
        <f>IF(ISNUMBER(Datos!BV17),Datos!BV17," - ")</f>
        <v xml:space="preserve"> - </v>
      </c>
      <c r="AG17" s="225" t="str">
        <f>IF(ISNUMBER(Datos!DV17),Datos!DV17," - ")</f>
        <v xml:space="preserve"> - </v>
      </c>
      <c r="AH17" s="298"/>
      <c r="AI17" s="227"/>
      <c r="AJ17" s="225">
        <f>IF(ISNUMBER(Datos!M17),Datos!M17," - ")</f>
        <v>232</v>
      </c>
      <c r="AK17" s="229">
        <f>IF(ISNUMBER(Datos!N17),Datos!N17," - ")</f>
        <v>757</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4.8419864559819414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1600</v>
      </c>
      <c r="BZ17" s="1186">
        <f>Datos!EZ17</f>
        <v>0</v>
      </c>
    </row>
    <row r="18" spans="1:78" ht="15.75" thickTop="1" thickBot="1">
      <c r="A18" s="178"/>
      <c r="B18" s="178"/>
      <c r="C18" s="863" t="str">
        <f>Datos!A18</f>
        <v>TOTAL</v>
      </c>
      <c r="D18" s="863"/>
      <c r="E18" s="1169">
        <f>SUBTOTAL(9,E15:E17)</f>
        <v>6</v>
      </c>
      <c r="F18" s="898">
        <f>SUBTOTAL(9,F15:F17)</f>
        <v>1202</v>
      </c>
      <c r="G18" s="898">
        <f>SUBTOTAL(9,G15:G17)</f>
        <v>1853</v>
      </c>
      <c r="H18" s="932">
        <f>SUBTOTAL(9,H15:H17)</f>
        <v>0</v>
      </c>
      <c r="I18" s="911">
        <f>SUBTOTAL(9,I15:I17)</f>
        <v>0</v>
      </c>
      <c r="J18" s="867">
        <f>SUBTOTAL(9,J14:J17)</f>
        <v>0</v>
      </c>
      <c r="K18" s="932">
        <f t="shared" ref="K18:S18" si="4">SUBTOTAL(9,K15:K17)</f>
        <v>0</v>
      </c>
      <c r="L18" s="932">
        <f t="shared" si="4"/>
        <v>0</v>
      </c>
      <c r="M18" s="932">
        <f t="shared" si="4"/>
        <v>0</v>
      </c>
      <c r="N18" s="932">
        <f t="shared" si="4"/>
        <v>189</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5158</v>
      </c>
      <c r="Z18" s="932">
        <f t="shared" si="5"/>
        <v>127</v>
      </c>
      <c r="AA18" s="932">
        <f t="shared" si="5"/>
        <v>1812</v>
      </c>
      <c r="AB18" s="932">
        <f t="shared" si="5"/>
        <v>0</v>
      </c>
      <c r="AC18" s="932">
        <f t="shared" si="5"/>
        <v>0</v>
      </c>
      <c r="AD18" s="932">
        <f t="shared" si="5"/>
        <v>0</v>
      </c>
      <c r="AE18" s="932">
        <f t="shared" si="5"/>
        <v>273</v>
      </c>
      <c r="AF18" s="932">
        <f t="shared" si="5"/>
        <v>0</v>
      </c>
      <c r="AG18" s="932">
        <f t="shared" si="5"/>
        <v>0</v>
      </c>
      <c r="AH18" s="932">
        <f t="shared" si="5"/>
        <v>0</v>
      </c>
      <c r="AI18" s="932">
        <f t="shared" si="5"/>
        <v>0</v>
      </c>
      <c r="AJ18" s="932">
        <f t="shared" si="5"/>
        <v>799</v>
      </c>
      <c r="AK18" s="932">
        <f t="shared" si="5"/>
        <v>2850</v>
      </c>
      <c r="AL18" s="932">
        <f t="shared" si="5"/>
        <v>0</v>
      </c>
      <c r="AM18" s="932">
        <f t="shared" si="5"/>
        <v>0</v>
      </c>
      <c r="AN18" s="932">
        <f t="shared" si="5"/>
        <v>0</v>
      </c>
      <c r="AO18" s="934">
        <f>IF(ISNUMBER(((NºAsuntos!I18/NºAsuntos!G18)*11)/factor_trimestre),((NºAsuntos!I18/NºAsuntos!G18)*11)/factor_trimestre," - ")</f>
        <v>3.8642884839084912</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12</v>
      </c>
      <c r="F19" s="820">
        <f t="shared" si="7"/>
        <v>1314</v>
      </c>
      <c r="G19" s="820">
        <f t="shared" si="7"/>
        <v>1965</v>
      </c>
      <c r="H19" s="821">
        <f t="shared" si="7"/>
        <v>0</v>
      </c>
      <c r="I19" s="820">
        <f t="shared" si="7"/>
        <v>0</v>
      </c>
      <c r="J19" s="822">
        <f t="shared" si="7"/>
        <v>0</v>
      </c>
      <c r="K19" s="820">
        <f t="shared" si="7"/>
        <v>0</v>
      </c>
      <c r="L19" s="823">
        <f t="shared" si="7"/>
        <v>0</v>
      </c>
      <c r="M19" s="820">
        <f t="shared" si="7"/>
        <v>0</v>
      </c>
      <c r="N19" s="821">
        <f t="shared" si="7"/>
        <v>1032</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5320</v>
      </c>
      <c r="Z19" s="827">
        <f t="shared" si="8"/>
        <v>708</v>
      </c>
      <c r="AA19" s="828">
        <f t="shared" si="8"/>
        <v>1907</v>
      </c>
      <c r="AB19" s="828">
        <f t="shared" si="8"/>
        <v>0</v>
      </c>
      <c r="AC19" s="828">
        <f t="shared" si="8"/>
        <v>0</v>
      </c>
      <c r="AD19" s="829">
        <f t="shared" si="8"/>
        <v>0</v>
      </c>
      <c r="AE19" s="829">
        <f t="shared" si="8"/>
        <v>5430</v>
      </c>
      <c r="AF19" s="830">
        <f t="shared" si="8"/>
        <v>0</v>
      </c>
      <c r="AG19" s="831">
        <f t="shared" si="8"/>
        <v>0</v>
      </c>
      <c r="AH19" s="832">
        <f t="shared" si="8"/>
        <v>0</v>
      </c>
      <c r="AI19" s="830">
        <f t="shared" si="8"/>
        <v>0</v>
      </c>
      <c r="AJ19" s="820">
        <f t="shared" si="8"/>
        <v>1589</v>
      </c>
      <c r="AK19" s="820">
        <f t="shared" si="8"/>
        <v>4298</v>
      </c>
      <c r="AL19" s="820">
        <f t="shared" si="8"/>
        <v>0</v>
      </c>
      <c r="AM19" s="833">
        <f t="shared" si="8"/>
        <v>0</v>
      </c>
      <c r="AN19" s="823">
        <f>IF(ISNUMBER(Datos!K19/Datos!J19),Datos!K19/Datos!J19," - ")</f>
        <v>0.94930875576036866</v>
      </c>
      <c r="AO19" s="823">
        <f>IF(ISNUMBER(FIND("06",Criterios!A8,1)),(IF(ISNUMBER(((Datos!R19/Datos!Q19)*11)/factor_trimestre),((Datos!R19/Datos!Q19)*11)/factor_trimestre," - ")),(IF(ISNUMBER(((Datos!L19/Datos!K19)*11)/factor_trimestre),((Datos!L19/Datos!K19)*11)/factor_trimestre," - ")))</f>
        <v>7.2191569973952161</v>
      </c>
      <c r="AP19" s="834" t="str">
        <f>IF(ISNUMBER(Datos!CI19/Datos!CJ19),Datos!CI19/Datos!CJ19," - ")</f>
        <v xml:space="preserve"> - </v>
      </c>
      <c r="AQ19" s="834">
        <f>IF(OR(ISNUMBER(FIND("01",Criterios!A8,1)),ISNUMBER(FIND("02",Criterios!A8,1)),ISNUMBER(FIND("03",Criterios!A8,1)),ISNUMBER(FIND("04",Criterios!A8,1))),(J19-Y19+K19)/(F19-K19),(I19-Y19+K19)/(F19-K19))</f>
        <v>-4.0487062404870624</v>
      </c>
      <c r="AR19" s="834">
        <f>IF(ISNUMBER((Datos!P19-Datos!Q19+O19)/(Datos!R19-Datos!P19+Datos!Q19-O19)),(Datos!P19-Datos!Q19+O19)/(Datos!R19-Datos!P19+Datos!Q19-O19)," - ")</f>
        <v>6.3454759106933017E-2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786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629.31179341669201</v>
      </c>
      <c r="G21" s="552">
        <f>IF(ISNUMBER(STDEV(G8:G18)),STDEV(G8:G18),"-")</f>
        <v>746.5979507070723</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298.85894108536667</v>
      </c>
      <c r="AK21" s="252"/>
      <c r="AL21" s="252">
        <f>IF(ISNUMBER(STDEV(AL8:AL18)),STDEV(AL8:AL18),"-")</f>
        <v>0</v>
      </c>
      <c r="AM21" s="254">
        <f>IF(ISNUMBER(STDEV(AM8:AM18)),STDEV(AM8:AM18),"-")</f>
        <v>0</v>
      </c>
      <c r="AN21" s="539">
        <f>IF(ISNUMBER(STDEV(AN8:AN18)),STDEV(AN8:AN18),"-")</f>
        <v>0</v>
      </c>
      <c r="AO21" s="540">
        <f>IF(ISNUMBER(STDEV(AO8:AO18)),STDEV(AO8:AO18),"-")</f>
        <v>4.0784248126029397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846.34921870348535</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28 feb. 2025</v>
      </c>
    </row>
    <row r="32" spans="1:78" ht="13.5" thickBot="1">
      <c r="C32" s="536"/>
      <c r="D32" s="527"/>
      <c r="E32" s="527"/>
    </row>
    <row r="33" spans="12:12" ht="15" thickBot="1">
      <c r="L33" s="546"/>
    </row>
  </sheetData>
  <sheetProtection algorithmName="SHA-512" hashValue="lmgLOi9uBg4EXDkZK01H98a2ZO+XjxBYsEgSuRKgTSTqpA08rXnDyBpEY3rGPrEWPBDce8dl8361NPBBV4mhZA==" saltValue="W1cImEQf1dU+BrG2sVr6s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4</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c0h/9oef1NmWBglmtlF7G2cpHLTfVK5ENWMQMgNDzbLt7M16S+hIQuFQ1Eyq5l/HmbZwu7WOUMfr2CjZBHDDzg==" saltValue="c4WO++Zra1k3Yh2kiDXZY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CASTELLON-CASTELLO</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zDo2RssdRSPDYHCfZHTFTE8mA4E7FAfB2PpGJXPE/XbTs+9pjOZlAkpCuqNvlT+K2koJ7UTvmELuTTppfve6A==" saltValue="RFMmKFjDYVMogMtv2LEd5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COMUNIDAD VALENCIANA</v>
      </c>
    </row>
    <row r="2" spans="1:78" ht="16.5" customHeight="1">
      <c r="C2" s="488" t="str">
        <f>Criterios!A10 &amp;"  "&amp;Criterios!B10 &amp; "  " &amp; IF(NOT(ISBLANK(Criterios!A11)),Criterios!A11 &amp;"  "&amp;Criterios!B11,"")</f>
        <v>Provincias  CASTELLON-CASTELLO  Resumenes por Partidos Judiciales  VILLARREAL-VILA-REAL</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1 al 4</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0.22623138602520046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0.15996974717565079</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28 feb. 2025</v>
      </c>
    </row>
    <row r="32" spans="1:78">
      <c r="C32" s="774"/>
      <c r="D32" s="774"/>
    </row>
  </sheetData>
  <sheetProtection algorithmName="SHA-512" hashValue="3u5kQA/l5PFyZrclUFGQCteHR8ro+K+wbs4CB0n7vfPYbhZzoaRsIO2WbMdpzT0JW9zq2WgKMZw3vRnNwpWviw==" saltValue="rjJqGTMfZQb4/5jq8bFKJ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rL5KVIvFMhqoDJ3N3JBsesYbB6rl3s2OS21VoTOgw2e1UbcpxZxqLG+4FRnW+nkwtrkmMOPZFcyMHgoI4uffsg==" saltValue="sWrcYd6v5V4UKsoULsYSj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COMUNIDAD VALENCIANA</v>
      </c>
      <c r="C2" s="375"/>
      <c r="D2" s="375"/>
      <c r="E2" s="375"/>
      <c r="F2" s="375"/>
    </row>
    <row r="3" spans="1:69" ht="19.5">
      <c r="A3" s="390" t="s">
        <v>115</v>
      </c>
      <c r="B3" s="391" t="str">
        <f>Criterios!A10 &amp;"  "&amp;Criterios!B10</f>
        <v>Provincias  CASTELLON-CASTELLO</v>
      </c>
      <c r="D3" s="375"/>
      <c r="E3" s="375"/>
      <c r="F3" s="375"/>
      <c r="BQ3" s="471"/>
    </row>
    <row r="4" spans="1:69" ht="13.5" thickBot="1">
      <c r="A4" s="375"/>
      <c r="B4" s="391" t="str">
        <f>Criterios!A11 &amp;"  "&amp;Criterios!B11</f>
        <v>Resumenes por Partidos Judiciales  VILLARREAL-VILA-REAL</v>
      </c>
      <c r="C4" s="375"/>
      <c r="D4" s="375"/>
      <c r="E4" s="375"/>
      <c r="F4" s="375"/>
      <c r="BQ4" s="471"/>
    </row>
    <row r="5" spans="1:69" ht="15.75" customHeight="1">
      <c r="A5" s="1198" t="str">
        <f>"Año:  " &amp;Criterios!B5 &amp; "     Trimestre   " &amp;Criterios!D5 &amp; " al " &amp;Criterios!D6</f>
        <v>Año:  2024     Trimestre   1 al 4</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112</v>
      </c>
      <c r="D10" s="404">
        <f>IF(ISNUMBER(C10/Datos!BH10),C10/Datos!BH10," - ")</f>
        <v>112</v>
      </c>
      <c r="E10" s="403">
        <f>IF(ISNUMBER(Datos!J10),Datos!J10," - ")</f>
        <v>145</v>
      </c>
      <c r="F10" s="404">
        <f>IF(ISNUMBER(E10/B10),E10/B10," - ")</f>
        <v>145</v>
      </c>
      <c r="G10" s="403">
        <f>IF(ISNUMBER(Datos!K10),Datos!K10," - ")</f>
        <v>162</v>
      </c>
      <c r="H10" s="404">
        <f>IF(ISNUMBER(G10/B10),G10/B10," - ")</f>
        <v>162</v>
      </c>
      <c r="I10" s="403">
        <f>IF(ISNUMBER(Datos!L10),Datos!L10," - ")</f>
        <v>95</v>
      </c>
      <c r="J10" s="404">
        <f>IF(ISNUMBER(I10/B10),I10/B10," - ")</f>
        <v>95</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5</v>
      </c>
      <c r="C12" s="403">
        <f>IF(ISNUMBER(IF(J_V="SI",Datos!I12,Datos!I12+Datos!Y12)),IF(J_V="SI",Datos!I12,Datos!I12+Datos!Y12)," - ")</f>
        <v>3207</v>
      </c>
      <c r="D12" s="404">
        <f>IF(ISNUMBER(C12/Datos!BH12),C12/Datos!BH12," - ")</f>
        <v>641.4</v>
      </c>
      <c r="E12" s="403">
        <f>IF(ISNUMBER(IF(J_V="SI",Datos!J12,Datos!J12+Datos!Z12)),IF(J_V="SI",Datos!J12,Datos!J12+Datos!Z12)," - ")</f>
        <v>3860</v>
      </c>
      <c r="F12" s="404">
        <f>IF(ISNUMBER(E12/B12),E12/B12," - ")</f>
        <v>772</v>
      </c>
      <c r="G12" s="403">
        <f>IF(ISNUMBER(IF(J_V="SI",Datos!K12,Datos!K12+Datos!AA12)),IF(J_V="SI",Datos!K12,Datos!K12+Datos!AA12)," - ")</f>
        <v>3330</v>
      </c>
      <c r="H12" s="404">
        <f>IF(ISNUMBER(G12/B12),G12/B12," - ")</f>
        <v>666</v>
      </c>
      <c r="I12" s="403">
        <f>IF(ISNUMBER(IF(J_V="SI",Datos!L12,Datos!L12+Datos!AB12)),IF(J_V="SI",Datos!L12,Datos!L12+Datos!AB12)," - ")</f>
        <v>3771</v>
      </c>
      <c r="J12" s="404">
        <f>IF(ISNUMBER(I12/B12),I12/B12," - ")</f>
        <v>754.2</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6</v>
      </c>
      <c r="C13" s="849">
        <f>SUBTOTAL(9,C8:C12)</f>
        <v>3319</v>
      </c>
      <c r="D13" s="850" t="str">
        <f>IF(ISNUMBER(C13/Datos!BI13),C13/Datos!BI13," - ")</f>
        <v xml:space="preserve"> - </v>
      </c>
      <c r="E13" s="849">
        <f>SUBTOTAL(9,E8:E12)</f>
        <v>4005</v>
      </c>
      <c r="F13" s="850">
        <f>IF(ISNUMBER(E13/B13),E13/B13," - ")</f>
        <v>667.5</v>
      </c>
      <c r="G13" s="849">
        <f>SUBTOTAL(9,G8:G12)</f>
        <v>3492</v>
      </c>
      <c r="H13" s="850">
        <f>IF(ISNUMBER(G13/B13),G13/B13," - ")</f>
        <v>582</v>
      </c>
      <c r="I13" s="849">
        <f>SUBTOTAL(9,I8:I12)</f>
        <v>3866</v>
      </c>
      <c r="J13" s="850">
        <f>IF(ISNUMBER(I13/B13),I13/B13," - ")</f>
        <v>644.33333333333337</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5</v>
      </c>
      <c r="C16" s="403">
        <f>IF(ISNUMBER(IF(D_I="SI",Datos!I16,Datos!I16+Datos!AC16)),IF(D_I="SI",Datos!I16,Datos!I16+Datos!AC16)," - ")</f>
        <v>1194</v>
      </c>
      <c r="D16" s="404">
        <f>IF(ISNUMBER(C16/Datos!BH16),C16/Datos!BH16," - ")</f>
        <v>238.8</v>
      </c>
      <c r="E16" s="403">
        <f>IF(ISNUMBER(IF(D_I="SI",Datos!J16,Datos!J16+Datos!AD16)),IF(D_I="SI",Datos!J16,Datos!J16+Datos!AD16)," - ")</f>
        <v>3854</v>
      </c>
      <c r="F16" s="404">
        <f>IF(ISNUMBER(E16/B16),E16/B16," - ")</f>
        <v>770.8</v>
      </c>
      <c r="G16" s="403">
        <f>IF(ISNUMBER(IF(D_I="SI",Datos!K16,Datos!K16+Datos!AE16)),IF(D_I="SI",Datos!K16,Datos!K16+Datos!AE16)," - ")</f>
        <v>3829</v>
      </c>
      <c r="H16" s="404">
        <f>IF(ISNUMBER(G16/B16),G16/B16," - ")</f>
        <v>765.8</v>
      </c>
      <c r="I16" s="403">
        <f>IF(ISNUMBER(IF(D_I="SI",Datos!L16,Datos!L16+Datos!AF16)),IF(D_I="SI",Datos!L16,Datos!L16+Datos!AF16)," - ")</f>
        <v>1227</v>
      </c>
      <c r="J16" s="404">
        <f>IF(ISNUMBER(I16/B16),I16/B16," - ")</f>
        <v>245.4</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659</v>
      </c>
      <c r="D17" s="404">
        <f>IF(ISNUMBER(C17/Datos!BH17),C17/Datos!BH17," - ")</f>
        <v>659</v>
      </c>
      <c r="E17" s="403">
        <f>IF(ISNUMBER(IF(D_I="SI",Datos!J17,Datos!J17+Datos!AD17)),IF(D_I="SI",Datos!J17,Datos!J17+Datos!AD17)," - ")</f>
        <v>1255</v>
      </c>
      <c r="F17" s="404">
        <f>IF(ISNUMBER(E17/B17),E17/B17," - ")</f>
        <v>1255</v>
      </c>
      <c r="G17" s="403">
        <f>IF(ISNUMBER(IF(D_I="SI",Datos!K17,Datos!K17+Datos!AE17)),IF(D_I="SI",Datos!K17,Datos!K17+Datos!AE17)," - ")</f>
        <v>1329</v>
      </c>
      <c r="H17" s="404">
        <f>IF(ISNUMBER(G17/B17),G17/B17," - ")</f>
        <v>1329</v>
      </c>
      <c r="I17" s="403">
        <f>IF(ISNUMBER(IF(D_I="SI",Datos!L17,Datos!L17+Datos!AF17)),IF(D_I="SI",Datos!L17,Datos!L17+Datos!AF17)," - ")</f>
        <v>585</v>
      </c>
      <c r="J17" s="404">
        <f>IF(ISNUMBER(I17/B17),I17/B17," - ")</f>
        <v>585</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6</v>
      </c>
      <c r="C18" s="849">
        <f>SUBTOTAL(9,C14:C17)</f>
        <v>1853</v>
      </c>
      <c r="D18" s="850" t="str">
        <f>IF(ISNUMBER(C18/Datos!BI18),C18/Datos!BI18," - ")</f>
        <v xml:space="preserve"> - </v>
      </c>
      <c r="E18" s="849">
        <f>SUBTOTAL(9,E14:E17)</f>
        <v>5109</v>
      </c>
      <c r="F18" s="850">
        <f>IF(ISNUMBER(E18/B18),E18/B18," - ")</f>
        <v>851.5</v>
      </c>
      <c r="G18" s="849">
        <f>SUBTOTAL(9,G14:G17)</f>
        <v>5158</v>
      </c>
      <c r="H18" s="850">
        <f>IF(ISNUMBER(G18/B18),G18/B18," - ")</f>
        <v>859.66666666666663</v>
      </c>
      <c r="I18" s="849">
        <f>SUBTOTAL(9,I14:I17)</f>
        <v>1812</v>
      </c>
      <c r="J18" s="850">
        <f>IF(ISNUMBER(I18/B18),I18/B18," - ")</f>
        <v>302</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6</v>
      </c>
      <c r="C19" s="794">
        <f>SUBTOTAL(9,C9:C18)</f>
        <v>5172</v>
      </c>
      <c r="D19" s="795" t="str">
        <f>IF(ISNUMBER(C19/Datos!BI19),C19/Datos!BI19," - ")</f>
        <v xml:space="preserve"> - </v>
      </c>
      <c r="E19" s="794">
        <f>SUBTOTAL(9,E9:E18)</f>
        <v>9114</v>
      </c>
      <c r="F19" s="795">
        <f>IF(ISNUMBER(E19/B19),E19/B19," - ")</f>
        <v>1519</v>
      </c>
      <c r="G19" s="794">
        <f>SUBTOTAL(9,G9:G18)</f>
        <v>8650</v>
      </c>
      <c r="H19" s="795">
        <f>IF(ISNUMBER(G19/B19),G19/B19," - ")</f>
        <v>1441.6666666666667</v>
      </c>
      <c r="I19" s="794">
        <f>SUBTOTAL(9,I9:I18)</f>
        <v>5678</v>
      </c>
      <c r="J19" s="795">
        <f>IF(ISNUMBER(I19/B19),I19/B19," - ")</f>
        <v>946.33333333333337</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28 feb. 2025</v>
      </c>
    </row>
    <row r="27" spans="1:69">
      <c r="A27" s="414"/>
    </row>
  </sheetData>
  <sheetProtection algorithmName="SHA-512" hashValue="1PV5ro0ETw+SyzEYA0Qxs808MiGQYj9hLUIZquxnfwur+FifzgRy76UuWArtpJ2AdHDPfRYcy4LUagT1ve/APQ==" saltValue="vHyJ141SSnu+xoF1Waa1U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COMUNIDAD VALENCIANA</v>
      </c>
      <c r="W1"/>
      <c r="X1"/>
    </row>
    <row r="2" spans="1:78" ht="16.5" customHeight="1">
      <c r="C2" s="488" t="str">
        <f>Criterios!A10 &amp;"  "&amp;Criterios!B10 &amp; "  " &amp; IF(NOT(ISBLANK(Criterios!A11)),Criterios!A11 &amp;"  "&amp;Criterios!B11,"")</f>
        <v>Provincias  CASTELLON-CASTELLO  Resumenes por Partidos Judiciales  VILLARREAL-VILA-REAL</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1 al 4</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1</v>
      </c>
      <c r="F10" s="683">
        <f>IF(ISNUMBER(Datos!L10+Datos!K10-Datos!J10),Datos!L10+Datos!K10-Datos!J10," - ")</f>
        <v>112</v>
      </c>
      <c r="G10" s="684">
        <f>IF(ISNUMBER(Datos!I10),Datos!I10," - ")</f>
        <v>112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53</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162</v>
      </c>
      <c r="AC10" s="683" t="str">
        <f>IF(ISNUMBER(IF(D_I="SI",DatosP!K17,DatosP!K17+DatosP!AE17)),IF(D_I="SI",DatosP!K17,DatosP!K17+DatosP!AE17)," - ")</f>
        <v xml:space="preserve"> - </v>
      </c>
      <c r="AD10" s="685"/>
      <c r="AE10" s="685"/>
      <c r="AF10" s="688">
        <f>IF(ISNUMBER(Datos!L10),Datos!L10,"-")</f>
        <v>95</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95</v>
      </c>
      <c r="AM10" s="690">
        <f>IF(ISNUMBER(Datos!N10+DatosP!N17),Datos!N10+DatosP!N17," - ")</f>
        <v>58</v>
      </c>
      <c r="AN10" s="690">
        <f>IF(ISNUMBER(Datos!BW10+DatosP!BW17),Datos!BW10+DatosP!BW17," - ")</f>
        <v>0</v>
      </c>
      <c r="AO10" s="691">
        <f>IF(ISNUMBER(Datos!BX10+DatosP!BX17),Datos!BX10+DatosP!BX17," - ")</f>
        <v>0</v>
      </c>
      <c r="AP10" s="693">
        <f>IF(ISNUMBER(((Datos!L10/Datos!K10)*11)/factor_trimestre),((Datos!L10/Datos!K10)*11)/factor_trimestre," - ")</f>
        <v>6.450617283950618</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5</v>
      </c>
      <c r="B12" s="507" t="s">
        <v>246</v>
      </c>
      <c r="C12" s="7" t="str">
        <f>Datos!A12</f>
        <v xml:space="preserve">Jdos. 1ª Instª. e Instr.                        </v>
      </c>
      <c r="D12" s="508"/>
      <c r="E12" s="682">
        <f>IF(ISNUMBER(Datos!AQ12),Datos!AQ12," - ")</f>
        <v>5</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790</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520</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5124</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695</v>
      </c>
      <c r="AM12" s="690">
        <f>IF(ISNUMBER(Datos!N12+DatosP!N16),Datos!N12+DatosP!N16," - ")</f>
        <v>1390</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12.456756756756757</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5.5624227441285541E-2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6</v>
      </c>
      <c r="F13" s="938">
        <f t="shared" si="0"/>
        <v>112</v>
      </c>
      <c r="G13" s="938">
        <f t="shared" si="0"/>
        <v>112</v>
      </c>
      <c r="H13" s="938">
        <f t="shared" si="0"/>
        <v>0</v>
      </c>
      <c r="I13" s="940">
        <f t="shared" si="0"/>
        <v>0</v>
      </c>
      <c r="J13" s="939">
        <f t="shared" si="0"/>
        <v>0</v>
      </c>
      <c r="K13" s="939">
        <f t="shared" si="0"/>
        <v>0</v>
      </c>
      <c r="L13" s="941">
        <f t="shared" si="0"/>
        <v>0</v>
      </c>
      <c r="M13" s="941">
        <f t="shared" si="0"/>
        <v>0</v>
      </c>
      <c r="N13" s="939">
        <f t="shared" si="0"/>
        <v>843</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162</v>
      </c>
      <c r="AC13" s="939">
        <f t="shared" si="1"/>
        <v>0</v>
      </c>
      <c r="AD13" s="939">
        <f t="shared" si="1"/>
        <v>520</v>
      </c>
      <c r="AE13" s="939">
        <f t="shared" si="1"/>
        <v>0</v>
      </c>
      <c r="AF13" s="939">
        <f t="shared" si="1"/>
        <v>95</v>
      </c>
      <c r="AG13" s="939">
        <f t="shared" si="1"/>
        <v>0</v>
      </c>
      <c r="AH13" s="939">
        <f t="shared" si="1"/>
        <v>5124</v>
      </c>
      <c r="AI13" s="939">
        <f t="shared" si="1"/>
        <v>0</v>
      </c>
      <c r="AJ13" s="939">
        <f t="shared" si="1"/>
        <v>0</v>
      </c>
      <c r="AK13" s="939">
        <f t="shared" si="1"/>
        <v>0</v>
      </c>
      <c r="AL13" s="939">
        <f t="shared" si="1"/>
        <v>790</v>
      </c>
      <c r="AM13" s="939">
        <f t="shared" si="1"/>
        <v>1448</v>
      </c>
      <c r="AN13" s="939">
        <f t="shared" si="1"/>
        <v>0</v>
      </c>
      <c r="AO13" s="939">
        <f t="shared" si="1"/>
        <v>0</v>
      </c>
      <c r="AP13" s="944">
        <f>IF(ISNUMBER(((Datos!L13/Datos!K13)*11)/factor_trimestre),((Datos!L13/Datos!K13)*11)/factor_trimestre," - ")</f>
        <v>12.482055961070559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-1.4464285714285714</v>
      </c>
      <c r="AU13" s="939" t="str">
        <f>IF(ISNUMBER((DatosP!#REF!-DatosP!#REF!+DatosP!#REF!)/(DatosP!#REF!+DatosP!#REF!-DatosP!#REF!-DatosP!#REF!)),(DatosP!#REF!-DatosP!#REF!+DatosP!#REF!)/(DatosP!#REF!+DatosP!#REF!-DatosP!#REF!-DatosP!#REF!)," - ")</f>
        <v xml:space="preserve"> - </v>
      </c>
      <c r="AV13" s="945">
        <f>SUBTOTAL(9,AV9:AV12)</f>
        <v>5.5624227441285541E-2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5</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3.8642884839084912</v>
      </c>
      <c r="AQ18" s="944">
        <f>IF(ISNUMBER(((Datos!M18/Datos!L18)*11)/factor_trimestre),((Datos!M18/Datos!L18)*11)/factor_trimestre," - ")</f>
        <v>4.8504415011037523</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0.29383886255924169</v>
      </c>
      <c r="AW18" s="946">
        <f>IF(ISNUMBER((Datos!Q18-Datos!R18)/(Datos!S18-Datos!Q18+Datos!R18)),(Datos!Q18-Datos!R18)/(Datos!S18-Datos!Q18+Datos!R18)," - ")</f>
        <v>-7.8621432417878293E-2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6</v>
      </c>
      <c r="F19" s="951">
        <f t="shared" si="4"/>
        <v>112</v>
      </c>
      <c r="G19" s="951">
        <f t="shared" si="4"/>
        <v>112</v>
      </c>
      <c r="H19" s="951">
        <f t="shared" si="4"/>
        <v>0</v>
      </c>
      <c r="I19" s="952">
        <f t="shared" si="4"/>
        <v>0</v>
      </c>
      <c r="J19" s="953">
        <f t="shared" si="4"/>
        <v>0</v>
      </c>
      <c r="K19" s="953">
        <f t="shared" si="4"/>
        <v>0</v>
      </c>
      <c r="L19" s="953">
        <f t="shared" si="4"/>
        <v>0</v>
      </c>
      <c r="M19" s="953">
        <f t="shared" si="4"/>
        <v>0</v>
      </c>
      <c r="N19" s="952">
        <f t="shared" si="4"/>
        <v>843</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162</v>
      </c>
      <c r="AC19" s="957">
        <f t="shared" si="5"/>
        <v>0</v>
      </c>
      <c r="AD19" s="957">
        <f t="shared" si="5"/>
        <v>520</v>
      </c>
      <c r="AE19" s="957">
        <f t="shared" si="5"/>
        <v>0</v>
      </c>
      <c r="AF19" s="958">
        <f t="shared" si="5"/>
        <v>95</v>
      </c>
      <c r="AG19" s="958">
        <f t="shared" si="5"/>
        <v>0</v>
      </c>
      <c r="AH19" s="958">
        <f t="shared" si="5"/>
        <v>5124</v>
      </c>
      <c r="AI19" s="958">
        <f t="shared" si="5"/>
        <v>0</v>
      </c>
      <c r="AJ19" s="959">
        <f t="shared" si="5"/>
        <v>0</v>
      </c>
      <c r="AK19" s="959">
        <f t="shared" si="5"/>
        <v>0</v>
      </c>
      <c r="AL19" s="951">
        <f t="shared" si="5"/>
        <v>790</v>
      </c>
      <c r="AM19" s="951">
        <f t="shared" si="5"/>
        <v>1448</v>
      </c>
      <c r="AN19" s="951">
        <f t="shared" si="5"/>
        <v>0</v>
      </c>
      <c r="AO19" s="951">
        <f t="shared" si="5"/>
        <v>0</v>
      </c>
      <c r="AP19" s="951">
        <f>IF(ISNUMBER(((Datos!L19/Datos!K19)*11)/factor_trimestre),((Datos!L19/Datos!K19)*11)/factor_trimestre," - ")</f>
        <v>7.2191569973952161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-1.4464285714285714</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6.3454759106933017E-2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74.666666666666671</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2.7568097504180442</v>
      </c>
      <c r="F21" s="736">
        <f>IF(ISNUMBER(STDEV(F8:F18)),STDEV(F8:F18),"-")</f>
        <v>64.663230149238089</v>
      </c>
      <c r="G21" s="737">
        <f>IF(ISNUMBER(STDEV(G8:G18)),STDEV(G8:G18),"-")</f>
        <v>64.663230149238089</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93.530743608719376</v>
      </c>
      <c r="AC21" s="738">
        <f>IF(ISNUMBER(STDEV(AC8:AC18)),STDEV(AC8:AC18),"-")</f>
        <v>0</v>
      </c>
      <c r="AD21" s="741"/>
      <c r="AE21" s="741"/>
      <c r="AF21" s="741"/>
      <c r="AG21" s="741"/>
      <c r="AH21" s="741"/>
      <c r="AI21" s="741"/>
      <c r="AJ21" s="742">
        <f>IF(ISNUMBER(STDEV(AJ8:AJ18)),STDEV(AJ8:AJ18),"-")</f>
        <v>0</v>
      </c>
      <c r="AK21" s="744"/>
      <c r="AL21" s="736">
        <f>IF(ISNUMBER(STDEV(AL8:AL18)),STDEV(AL8:AL18),"-")</f>
        <v>404.9897118034811</v>
      </c>
      <c r="AM21" s="736"/>
      <c r="AN21" s="736">
        <f>IF(ISNUMBER(STDEV(AN8:AN18)),STDEV(AN8:AN18),"-")</f>
        <v>0</v>
      </c>
      <c r="AO21" s="742">
        <f>IF(ISNUMBER(STDEV(AO8:AO18)),STDEV(AO8:AO18),"-")</f>
        <v>0</v>
      </c>
      <c r="AP21" s="779">
        <f>IF(ISNUMBER(STDEV(AP8:AP18)),STDEV(AP8:AP18),"-")</f>
        <v>4.3516101225548427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28 feb. 2025</v>
      </c>
      <c r="W30"/>
      <c r="X30"/>
    </row>
    <row r="32" spans="1:78">
      <c r="C32" s="774"/>
      <c r="D32" s="774"/>
      <c r="W32"/>
      <c r="X32"/>
    </row>
  </sheetData>
  <sheetProtection algorithmName="SHA-512" hashValue="WxjmL7wJcitsMdPaPr+4Xs2x9f+YQ7ZMY8PUm7VhDs8hbfiyrwYl7Nlq4PJlgBAlnchQgYX0vpAe0Nu+B3cepw==" saltValue="6xVU2WI9tEKv0Wosm+fgG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CASTELLON-CASTELLO</v>
      </c>
      <c r="C3" s="415"/>
      <c r="F3" s="375"/>
      <c r="G3" s="375"/>
      <c r="H3" s="375"/>
    </row>
    <row r="4" spans="1:15" ht="13.5" thickBot="1">
      <c r="A4" s="375"/>
      <c r="B4" s="391" t="str">
        <f>Criterios!A11 &amp;"  "&amp;Criterios!B11</f>
        <v>Resumenes por Partidos Judiciales  VILLARREAL-VILA-REAL</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5</v>
      </c>
      <c r="D12" s="403">
        <f>Datos!BK12</f>
        <v>0</v>
      </c>
      <c r="E12" s="403">
        <f>Datos!AQ12</f>
        <v>5</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5</v>
      </c>
      <c r="D16" s="403">
        <f>Datos!BK16</f>
        <v>0</v>
      </c>
      <c r="E16" s="403">
        <f>Datos!AQ16</f>
        <v>5</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28 feb. 2025</v>
      </c>
      <c r="B23" s="391"/>
      <c r="C23" s="391"/>
    </row>
    <row r="27" spans="1:13">
      <c r="A27" s="414"/>
      <c r="B27" s="414"/>
      <c r="C27" s="414"/>
    </row>
  </sheetData>
  <sheetProtection algorithmName="SHA-512" hashValue="oDeHCrMsJk1Vr4Nei81x1OPeu0jcWJtYMQZHywxPesJsC3NyCFEc5SHejjmtr5cLUszLvBWxnwyY/ApIP73iZg==" saltValue="F69EuIzzkstYJ2nFX6hXE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COMUNIDAD VALENCIANA</v>
      </c>
      <c r="C2" s="391"/>
    </row>
    <row r="3" spans="1:78" ht="19.5">
      <c r="A3" s="425" t="s">
        <v>11</v>
      </c>
      <c r="B3" s="391" t="str">
        <f>Criterios!A10 &amp;"  "&amp;Criterios!B10</f>
        <v>Provincias  CASTELLON-CASTELLO</v>
      </c>
      <c r="C3" s="391"/>
      <c r="D3" s="425"/>
      <c r="BZ3" s="471"/>
    </row>
    <row r="4" spans="1:78" ht="13.5" thickBot="1">
      <c r="B4" s="391" t="str">
        <f>Criterios!A11 &amp;"  "&amp;Criterios!B11</f>
        <v>Resumenes por Partidos Judiciales  VILLARREAL-VILA-REAL</v>
      </c>
      <c r="BZ4" s="471"/>
    </row>
    <row r="5" spans="1:78" ht="15.75" customHeight="1">
      <c r="A5" s="1210" t="str">
        <f>"Año:  " &amp;Criterios!B5 &amp; "                  Trimestre   " &amp;Criterios!D5 &amp; " al " &amp;Criterios!D6</f>
        <v>Año:  2024                  Trimestre   1 al 4</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1</v>
      </c>
      <c r="D10" s="403">
        <f>IF(ISNUMBER(Datos!M10),Datos!M10," - ")</f>
        <v>95</v>
      </c>
      <c r="E10" s="404">
        <f>IF(ISNUMBER(D10/B10),D10/B10," - ")</f>
        <v>95</v>
      </c>
      <c r="F10" s="403">
        <f>IF(ISNUMBER(Datos!N10),Datos!N10," - ")</f>
        <v>58</v>
      </c>
      <c r="G10" s="404">
        <f>IF(ISNUMBER(F10/B10),F10/B10," - ")</f>
        <v>58</v>
      </c>
      <c r="H10" s="403">
        <f>IF(ISNUMBER(Datos!O10),Datos!O10," - ")</f>
        <v>63</v>
      </c>
      <c r="I10" s="404">
        <f t="shared" ref="I10:I12" si="2">IF(ISNUMBER(H10/B10),H10/B10," - ")</f>
        <v>63</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5</v>
      </c>
      <c r="C12" s="410">
        <f>Datos!AQ12</f>
        <v>5</v>
      </c>
      <c r="D12" s="403">
        <f>IF(ISNUMBER(Datos!M12),Datos!M12," - ")</f>
        <v>695</v>
      </c>
      <c r="E12" s="404">
        <f t="shared" si="0"/>
        <v>139</v>
      </c>
      <c r="F12" s="403">
        <f>IF(ISNUMBER(Datos!N12),Datos!N12," - ")</f>
        <v>1390</v>
      </c>
      <c r="G12" s="404">
        <f t="shared" si="1"/>
        <v>278</v>
      </c>
      <c r="H12" s="403">
        <f>IF(ISNUMBER(Datos!O12),Datos!O12," - ")</f>
        <v>1524</v>
      </c>
      <c r="I12" s="404">
        <f t="shared" si="2"/>
        <v>304.8</v>
      </c>
      <c r="BZ12" s="1186">
        <f>Datos!EZ12</f>
        <v>0</v>
      </c>
    </row>
    <row r="13" spans="1:78" ht="14.25" thickTop="1" thickBot="1">
      <c r="A13" s="848" t="str">
        <f>Datos!A13</f>
        <v>TOTAL</v>
      </c>
      <c r="B13" s="849">
        <f>Datos!AP13</f>
        <v>6</v>
      </c>
      <c r="C13" s="851">
        <f>Datos!AR13</f>
        <v>6</v>
      </c>
      <c r="D13" s="849">
        <f>SUBTOTAL(9,D9:D12)</f>
        <v>790</v>
      </c>
      <c r="E13" s="850">
        <f t="shared" si="0"/>
        <v>131.66666666666666</v>
      </c>
      <c r="F13" s="849">
        <f>SUBTOTAL(9,F9:F12)</f>
        <v>1448</v>
      </c>
      <c r="G13" s="850">
        <f t="shared" si="1"/>
        <v>241.33333333333334</v>
      </c>
      <c r="H13" s="849">
        <f>SUBTOTAL(9,H9:H12)</f>
        <v>1587</v>
      </c>
      <c r="I13" s="850">
        <f>IF(ISNUMBER(H13/B13),H13/B13," - ")</f>
        <v>264.5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5</v>
      </c>
      <c r="C16" s="428">
        <f>Datos!AQ16</f>
        <v>5</v>
      </c>
      <c r="D16" s="403">
        <f>IF(ISNUMBER(Datos!M16),Datos!M16," - ")</f>
        <v>567</v>
      </c>
      <c r="E16" s="404">
        <f t="shared" si="3"/>
        <v>113.4</v>
      </c>
      <c r="F16" s="403">
        <f>IF(ISNUMBER(Datos!N16),Datos!N16," - ")</f>
        <v>2093</v>
      </c>
      <c r="G16" s="404">
        <f t="shared" si="4"/>
        <v>418.6</v>
      </c>
      <c r="H16" s="403">
        <f>IF(ISNUMBER(Datos!O16),Datos!O16," - ")</f>
        <v>47</v>
      </c>
      <c r="I16" s="404">
        <f t="shared" si="5"/>
        <v>9.4</v>
      </c>
      <c r="BZ16" s="1186">
        <f>Datos!EZ16</f>
        <v>0</v>
      </c>
    </row>
    <row r="17" spans="1:78" ht="13.5" thickBot="1">
      <c r="A17" s="402" t="str">
        <f>Datos!A17</f>
        <v>Jdos. Violencia contra la mujer</v>
      </c>
      <c r="B17" s="427">
        <f>Datos!AO17</f>
        <v>1</v>
      </c>
      <c r="C17" s="428">
        <f>Datos!AQ17</f>
        <v>1</v>
      </c>
      <c r="D17" s="403">
        <f>IF(ISNUMBER(Datos!M17),Datos!M17," - ")</f>
        <v>232</v>
      </c>
      <c r="E17" s="404">
        <f>IF(ISNUMBER(D17/B17),D17/B17," - ")</f>
        <v>232</v>
      </c>
      <c r="F17" s="403">
        <f>IF(ISNUMBER(Datos!N17),Datos!N17," - ")</f>
        <v>757</v>
      </c>
      <c r="G17" s="404">
        <f>IF(ISNUMBER(F17/B17),F17/B17," - ")</f>
        <v>757</v>
      </c>
      <c r="H17" s="403">
        <f>IF(ISNUMBER(Datos!O17),Datos!O17," - ")</f>
        <v>0</v>
      </c>
      <c r="I17" s="404">
        <f t="shared" si="5"/>
        <v>0</v>
      </c>
      <c r="BZ17" s="1186">
        <f>Datos!EZ17</f>
        <v>0</v>
      </c>
    </row>
    <row r="18" spans="1:78" ht="14.25" thickTop="1" thickBot="1">
      <c r="A18" s="848" t="str">
        <f>Datos!A18</f>
        <v>TOTAL</v>
      </c>
      <c r="B18" s="849">
        <f>Datos!AP18</f>
        <v>6</v>
      </c>
      <c r="C18" s="851">
        <f>Datos!AR18</f>
        <v>6</v>
      </c>
      <c r="D18" s="849">
        <f>SUBTOTAL(9,D15:D17)</f>
        <v>799</v>
      </c>
      <c r="E18" s="850">
        <f t="shared" si="3"/>
        <v>133.16666666666666</v>
      </c>
      <c r="F18" s="849">
        <f>SUBTOTAL(9,F15:F17)</f>
        <v>2850</v>
      </c>
      <c r="G18" s="850">
        <f t="shared" si="4"/>
        <v>475</v>
      </c>
      <c r="H18" s="849">
        <f>SUBTOTAL(9,H15:H17)</f>
        <v>47</v>
      </c>
      <c r="I18" s="850">
        <f>IF(ISNUMBER(H18/B18),H18/B18," - ")</f>
        <v>7.833333333333333</v>
      </c>
      <c r="BZ18" s="1186"/>
    </row>
    <row r="19" spans="1:78" ht="14.25" thickTop="1" thickBot="1">
      <c r="A19" s="793" t="str">
        <f>Datos!A19</f>
        <v>TOTAL JURISDICCIONES</v>
      </c>
      <c r="B19" s="794">
        <f>Datos!AP19</f>
        <v>6</v>
      </c>
      <c r="C19" s="794">
        <f>Datos!AR19</f>
        <v>6</v>
      </c>
      <c r="D19" s="794">
        <f>SUBTOTAL(9,D8:D18)</f>
        <v>1589</v>
      </c>
      <c r="E19" s="795">
        <f>IF(ISNUMBER(D19/B19),D19/B19," - ")</f>
        <v>264.83333333333331</v>
      </c>
      <c r="F19" s="794">
        <f>SUBTOTAL(9,F8:F18)</f>
        <v>4298</v>
      </c>
      <c r="G19" s="795">
        <f>IF(ISNUMBER(F19/B19),F19/B19," - ")</f>
        <v>716.33333333333337</v>
      </c>
      <c r="H19" s="794">
        <f>SUBTOTAL(9,H8:H18)</f>
        <v>1634</v>
      </c>
      <c r="I19" s="795">
        <f>IF(ISNUMBER(H19/B19),H19/B19," - ")</f>
        <v>272.33333333333331</v>
      </c>
    </row>
    <row r="22" spans="1:78">
      <c r="A22" s="391" t="str">
        <f>Criterios!A4</f>
        <v>Fecha Informe: 28 feb. 2025</v>
      </c>
    </row>
    <row r="27" spans="1:78">
      <c r="A27" s="414"/>
    </row>
  </sheetData>
  <sheetProtection algorithmName="SHA-512" hashValue="lkLsppSGFMV0Apj+fhjEHF/WkVZZ5qMUvgyVKKKBGKdVjprkQAf1Ksgs7GIZHUMSQvPcDVXNod58q6EMhZMOHg==" saltValue="Dj81mQUjP6MYhUXUH2+Mg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CASTELLON-CASTELLO</v>
      </c>
    </row>
    <row r="4" spans="1:4" ht="13.5" thickBot="1">
      <c r="B4" s="391" t="str">
        <f>Criterios!A11 &amp;"  "&amp;Criterios!B11</f>
        <v>Resumenes por Partidos Judiciales  VILLARREAL-VILA-REAL</v>
      </c>
    </row>
    <row r="5" spans="1:4" ht="12.75" customHeight="1">
      <c r="A5" s="1210" t="str">
        <f>"Año:  " &amp;Criterios!B5 &amp; "                  Trimestre   " &amp;Criterios!D5 &amp; " al " &amp;Criterios!D6</f>
        <v>Año:  2024                  Trimestre   1 al 4</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53</v>
      </c>
      <c r="C10" s="434">
        <f>IF(ISNUMBER(Datos!Q10),Datos!Q10," - ")</f>
        <v>61</v>
      </c>
      <c r="D10" s="408">
        <f>IF(ISNUMBER(Datos!R10),Datos!R10," - ")</f>
        <v>33</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790</v>
      </c>
      <c r="C12" s="434">
        <f>IF(ISNUMBER(Datos!Q12),Datos!Q12," - ")</f>
        <v>520</v>
      </c>
      <c r="D12" s="408">
        <f>IF(ISNUMBER(Datos!R12),Datos!R12," - ")</f>
        <v>5124</v>
      </c>
    </row>
    <row r="13" spans="1:4" ht="14.25" thickTop="1" thickBot="1">
      <c r="A13" s="848" t="str">
        <f>Datos!A13</f>
        <v>TOTAL</v>
      </c>
      <c r="B13" s="849">
        <f>SUBTOTAL(9,B9:B12)</f>
        <v>843</v>
      </c>
      <c r="C13" s="853">
        <f>SUBTOTAL(9,C9:C12)</f>
        <v>581</v>
      </c>
      <c r="D13" s="851">
        <f>SUBTOTAL(9,D9:D12)</f>
        <v>5157</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171</v>
      </c>
      <c r="C16" s="434">
        <f>IF(ISNUMBER(Datos!Q16),Datos!Q16," - ")</f>
        <v>113</v>
      </c>
      <c r="D16" s="408">
        <f>IF(ISNUMBER(Datos!R16),Datos!R16," - ")</f>
        <v>260</v>
      </c>
    </row>
    <row r="17" spans="1:4" ht="13.5" thickBot="1">
      <c r="A17" s="402" t="str">
        <f>Datos!A17</f>
        <v>Jdos. Violencia contra la mujer</v>
      </c>
      <c r="B17" s="433">
        <f>IF(ISNUMBER(Datos!P17),Datos!P17," - ")</f>
        <v>18</v>
      </c>
      <c r="C17" s="434">
        <f>IF(ISNUMBER(Datos!Q17),Datos!Q17," - ")</f>
        <v>14</v>
      </c>
      <c r="D17" s="408">
        <f>IF(ISNUMBER(Datos!R17),Datos!R17," - ")</f>
        <v>13</v>
      </c>
    </row>
    <row r="18" spans="1:4" ht="14.25" thickTop="1" thickBot="1">
      <c r="A18" s="848" t="str">
        <f>Datos!A18</f>
        <v>TOTAL</v>
      </c>
      <c r="B18" s="849">
        <f>SUBTOTAL(9,B15:B17)</f>
        <v>189</v>
      </c>
      <c r="C18" s="853">
        <f>SUBTOTAL(9,C15:C17)</f>
        <v>127</v>
      </c>
      <c r="D18" s="851">
        <f>SUBTOTAL(9,D15:D17)</f>
        <v>273</v>
      </c>
    </row>
    <row r="19" spans="1:4" ht="16.5" customHeight="1" thickTop="1" thickBot="1">
      <c r="A19" s="793" t="str">
        <f>Datos!A19</f>
        <v>TOTAL JURISDICCIONES</v>
      </c>
      <c r="B19" s="798">
        <f>SUBTOTAL(9,B8:B18)</f>
        <v>1032</v>
      </c>
      <c r="C19" s="799">
        <f>SUBTOTAL(9,C8:C18)</f>
        <v>708</v>
      </c>
      <c r="D19" s="800">
        <f>SUBTOTAL(9,D8:D18)</f>
        <v>5430</v>
      </c>
    </row>
    <row r="20" spans="1:4" ht="7.5" customHeight="1"/>
    <row r="21" spans="1:4" ht="6" customHeight="1"/>
    <row r="22" spans="1:4">
      <c r="A22" s="391" t="str">
        <f>Criterios!A4</f>
        <v>Fecha Informe: 28 feb. 2025</v>
      </c>
    </row>
    <row r="27" spans="1:4">
      <c r="A27" s="414"/>
    </row>
  </sheetData>
  <sheetProtection algorithmName="SHA-512" hashValue="dR21N5Noh1jsBkkoCrr1bsK2R3p2j4IcziSB7m8nO3+ZMmBPLJiVtGVBdG7ohMZUa/5YQdxEPoJmuA1ORo9VGw==" saltValue="gQuQQVPIizlVwdqJxL55v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CASTELLON-CASTELLO</v>
      </c>
    </row>
    <row r="4" spans="1:11" ht="10.5" customHeight="1" thickBot="1">
      <c r="B4" s="391" t="str">
        <f>Criterios!A11 &amp;"  "&amp;Criterios!B11</f>
        <v>Resumenes por Partidos Judiciales  VILLARREAL-VILA-REAL</v>
      </c>
    </row>
    <row r="5" spans="1:11" ht="12.75" customHeight="1">
      <c r="A5" s="1210" t="str">
        <f>"Año:  " &amp;Criterios!B5 &amp; "    Trimestre   " &amp;Criterios!D5 &amp; " al " &amp;Criterios!D6</f>
        <v>Año:  2024    Trimestre   1 al 4</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0.55555555555555558</v>
      </c>
      <c r="C10" s="456">
        <f>IF(ISNUMBER((Datos!J10-Datos!T10)/Datos!T10),(Datos!J10-Datos!T10)/Datos!T10," - ")</f>
        <v>-0.10493827160493827</v>
      </c>
      <c r="D10" s="456">
        <f>IF(ISNUMBER((Datos!K10-Datos!U10)/Datos!U10),(Datos!K10-Datos!U10)/Datos!U10," - ")</f>
        <v>0.32786885245901637</v>
      </c>
      <c r="E10" s="456">
        <f>IF(ISNUMBER((Datos!L10-Datos!V10)/Datos!V10),(Datos!L10-Datos!V10)/Datos!V10," - ")</f>
        <v>-0.15178571428571427</v>
      </c>
      <c r="F10" s="456">
        <f>IF(ISNUMBER((Datos!M10-Datos!W10)/Datos!W10),(Datos!M10-Datos!W10)/Datos!W10," - ")</f>
        <v>0.30136986301369861</v>
      </c>
      <c r="G10" s="457">
        <f>IF(ISNUMBER((Datos!N10-Datos!X10)/Datos!X10),(Datos!N10-Datos!X10)/Datos!X10," - ")</f>
        <v>0.31818181818181818</v>
      </c>
      <c r="H10" s="455">
        <f>IF(ISNUMBER(((NºAsuntos!G10/NºAsuntos!E10)-Datos!BD10)/Datos!BD10),((NºAsuntos!G10/NºAsuntos!E10)-Datos!BD10)/Datos!BD10," - ")</f>
        <v>0.48355002826455623</v>
      </c>
      <c r="I10" s="456">
        <f>IF(ISNUMBER(((NºAsuntos!I10/NºAsuntos!G10)-Datos!BE10)/Datos!BE10),((NºAsuntos!I10/NºAsuntos!G10)-Datos!BE10)/Datos!BE10," - ")</f>
        <v>-0.36122134038800702</v>
      </c>
      <c r="J10" s="461">
        <f>IF(ISNUMBER((('Resol  Asuntos'!D10/NºAsuntos!G10)-Datos!BF10)/Datos!BF10),(('Resol  Asuntos'!D10/NºAsuntos!G10)-Datos!BF10)/Datos!BF10," - ")</f>
        <v>-1.9956029088449092E-2</v>
      </c>
      <c r="K10" s="462">
        <f>IF(ISNUMBER((((NºAsuntos!C10+NºAsuntos!E10)/NºAsuntos!G10)-Datos!BG10)/Datos!BG10),(((NºAsuntos!C10+NºAsuntos!E10)/NºAsuntos!G10)-Datos!BG10)/Datos!BG10," - ")</f>
        <v>-0.17289226548485806</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0.21018867924528301</v>
      </c>
      <c r="C12" s="456">
        <f>IF(ISNUMBER(
   IF(J_V="SI",(Datos!J12-Datos!T12)/Datos!T12,(Datos!J12+Datos!Z12-(Datos!T12+Datos!AH12))/(Datos!T12+Datos!AH12))
     ),IF(J_V="SI",(Datos!J12-Datos!T12)/Datos!T12,(Datos!J12+Datos!Z12-(Datos!T12+Datos!AH12))/(Datos!T12+Datos!AH12))," - ")</f>
        <v>-3.6685799850262039E-2</v>
      </c>
      <c r="D12" s="456">
        <f>IF(ISNUMBER(
   IF(J_V="SI",(Datos!K12-Datos!U12)/Datos!U12,(Datos!K12+Datos!AA12-(Datos!U12+Datos!AI12))/(Datos!U12+Datos!AI12))
     ),IF(J_V="SI",(Datos!K12-Datos!U12)/Datos!U12,(Datos!K12+Datos!AA12-(Datos!U12+Datos!AI12))/(Datos!U12+Datos!AI12))," - ")</f>
        <v>-3.9238315060588572E-2</v>
      </c>
      <c r="E12" s="456">
        <f>IF(ISNUMBER(
   IF(J_V="SI",(Datos!L12-Datos!V12)/Datos!V12,(Datos!L12+Datos!AB12-(Datos!V12+Datos!AJ12))/(Datos!V12+Datos!AJ12))
     ),IF(J_V="SI",(Datos!L12-Datos!V12)/Datos!V12,(Datos!L12+Datos!AB12-(Datos!V12+Datos!AJ12))/(Datos!V12+Datos!AJ12))," - ")</f>
        <v>0.17586529466791395</v>
      </c>
      <c r="F12" s="456">
        <f>IF(ISNUMBER((Datos!M12-Datos!W12)/Datos!W12),(Datos!M12-Datos!W12)/Datos!W12," - ")</f>
        <v>6.4318529862174581E-2</v>
      </c>
      <c r="G12" s="457">
        <f>IF(ISNUMBER((Datos!N12-Datos!X12)/Datos!X12),(Datos!N12-Datos!X12)/Datos!X12," - ")</f>
        <v>-6.2710721510451789E-2</v>
      </c>
      <c r="H12" s="455">
        <f>IF(ISNUMBER(((NºAsuntos!G12/NºAsuntos!E12)-Datos!BD12)/Datos!BD12),((NºAsuntos!G12/NºAsuntos!E12)-Datos!BD12)/Datos!BD12," - ")</f>
        <v>-2.6497223957976297E-3</v>
      </c>
      <c r="I12" s="456">
        <f>IF(ISNUMBER(((NºAsuntos!I12/NºAsuntos!G12)-Datos!BE12)/Datos!BE12),((NºAsuntos!I12/NºAsuntos!G12)-Datos!BE12)/Datos!BE12," - ")</f>
        <v>0.22388862201771456</v>
      </c>
      <c r="J12" s="461">
        <f>IF(ISNUMBER((('Resol  Asuntos'!D12/NºAsuntos!G12)-Datos!BF12)/Datos!BF12),(('Resol  Asuntos'!D12/NºAsuntos!G12)-Datos!BF12)/Datos!BF12," - ")</f>
        <v>-0.51221551963291689</v>
      </c>
      <c r="K12" s="462">
        <f>IF(ISNUMBER((((NºAsuntos!C12+NºAsuntos!E12)/NºAsuntos!G12)-Datos!BG12)/Datos!BG12),(((NºAsuntos!C12+NºAsuntos!E12)/NºAsuntos!G12)-Datos!BG12)/Datos!BG12," - ")</f>
        <v>0.10494550431458946</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0.21932402645113888</v>
      </c>
      <c r="C13" s="855">
        <f>IF(ISNUMBER(
   IF(J_V="SI",(Datos!J13-Datos!T13)/Datos!T13,(Datos!J13+Datos!Z13-(Datos!T13+Datos!AH13))/(Datos!T13+Datos!AH13))
     ),IF(J_V="SI",(Datos!J13-Datos!T13)/Datos!T13,(Datos!J13+Datos!Z13-(Datos!T13+Datos!AH13))/(Datos!T13+Datos!AH13))," - ")</f>
        <v>-3.9337970736387624E-2</v>
      </c>
      <c r="D13" s="855">
        <f>IF(ISNUMBER(
   IF(J_V="SI",(Datos!K13-Datos!U13)/Datos!U13,(Datos!K13+Datos!AA13-(Datos!U13+Datos!AI13))/(Datos!U13+Datos!AI13))
     ),IF(J_V="SI",(Datos!K13-Datos!U13)/Datos!U13,(Datos!K13+Datos!AA13-(Datos!U13+Datos!AI13))/(Datos!U13+Datos!AI13))," - ")</f>
        <v>-2.6755852842809364E-2</v>
      </c>
      <c r="E13" s="855">
        <f>IF(ISNUMBER(
   IF(J_V="SI",(Datos!L13-Datos!V13)/Datos!V13,(Datos!L13+Datos!AB13-(Datos!V13+Datos!AJ13))/(Datos!V13+Datos!AJ13))
     ),IF(J_V="SI",(Datos!L13-Datos!V13)/Datos!V13,(Datos!L13+Datos!AB13-(Datos!V13+Datos!AJ13))/(Datos!V13+Datos!AJ13))," - ")</f>
        <v>0.1648086773124435</v>
      </c>
      <c r="F13" s="856">
        <f>IF(ISNUMBER((Datos!M13-Datos!W13)/Datos!W13),(Datos!M13-Datos!W13)/Datos!W13," - ")</f>
        <v>8.8154269972451793E-2</v>
      </c>
      <c r="G13" s="857">
        <f>IF(ISNUMBER((Datos!N13-Datos!X13)/Datos!X13),(Datos!N13-Datos!X13)/Datos!X13," - ")</f>
        <v>-5.1735428945645055E-2</v>
      </c>
      <c r="H13" s="857">
        <f>IF(ISNUMBER(((NºAsuntos!G13/NºAsuntos!E13)-Datos!BD13)/Datos!BD13),((NºAsuntos!G13/NºAsuntos!E13)-Datos!BD13)/Datos!BD13," - ")</f>
        <v>1.3097340698708449E-2</v>
      </c>
      <c r="I13" s="857">
        <f>IF(ISNUMBER(((NºAsuntos!I13/NºAsuntos!G13)-Datos!BE13)/Datos!BE13),((NºAsuntos!I13/NºAsuntos!G13)-Datos!BE13)/Datos!BE13," - ")</f>
        <v>0.19683090899113623</v>
      </c>
      <c r="J13" s="857">
        <f>IF(ISNUMBER((('Resol  Asuntos'!D13/NºAsuntos!G13)-Datos!BF13)/Datos!BF13),(('Resol  Asuntos'!D13/NºAsuntos!G13)-Datos!BF13)/Datos!BF13," - ")</f>
        <v>-0.47833019726322673</v>
      </c>
      <c r="K13" s="857">
        <f>IF(ISNUMBER((((NºAsuntos!C13+NºAsuntos!E13)/NºAsuntos!G13)-Datos!BG13)/Datos!BG13),(((NºAsuntos!C13+NºAsuntos!E13)/NºAsuntos!G13)-Datos!BG13)/Datos!BG13," - ")</f>
        <v>9.2054430276853963E-2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-0.10158013544018059</v>
      </c>
      <c r="C16" s="456">
        <f>IF(ISNUMBER(
   IF(D_I="SI",(Datos!J16-Datos!T16)/Datos!T16,(Datos!J16+Datos!AD16-(Datos!T16+Datos!AL16))/(Datos!T16+Datos!AL16))
     ),IF(D_I="SI",(Datos!J16-Datos!T16)/Datos!T16,(Datos!J16+Datos!AD16-(Datos!T16+Datos!AL16))/(Datos!T16+Datos!AL16))," - ")</f>
        <v>1.9037546271813855E-2</v>
      </c>
      <c r="D16" s="456">
        <f>IF(ISNUMBER(
   IF(D_I="SI",(Datos!K16-Datos!U16)/Datos!U16,(Datos!K16+Datos!AE16-(Datos!U16+Datos!AM16))/(Datos!U16+Datos!AM16))
     ),IF(D_I="SI",(Datos!K16-Datos!U16)/Datos!U16,(Datos!K16+Datos!AE16-(Datos!U16+Datos!AM16))/(Datos!U16+Datos!AM16))," - ")</f>
        <v>-2.0214943705220062E-2</v>
      </c>
      <c r="E16" s="456">
        <f>IF(ISNUMBER(
   IF(D_I="SI",(Datos!L16-Datos!V16)/Datos!V16,(Datos!L16+Datos!AF16-(Datos!V16+Datos!AN16))/(Datos!V16+Datos!AN16))
     ),IF(D_I="SI",(Datos!L16-Datos!V16)/Datos!V16,(Datos!L16+Datos!AF16-(Datos!V16+Datos!AN16))/(Datos!V16+Datos!AN16))," - ")</f>
        <v>2.7638190954773871E-2</v>
      </c>
      <c r="F16" s="456">
        <f>IF(ISNUMBER((Datos!M16-Datos!W16)/Datos!W16),(Datos!M16-Datos!W16)/Datos!W16," - ")</f>
        <v>0.15950920245398773</v>
      </c>
      <c r="G16" s="457">
        <f>IF(ISNUMBER((Datos!N16-Datos!X16)/Datos!X16),(Datos!N16-Datos!X16)/Datos!X16," - ")</f>
        <v>-3.9908256880733947E-2</v>
      </c>
      <c r="H16" s="455">
        <f>IF(ISNUMBER(((NºAsuntos!G16/NºAsuntos!E16)-Datos!BD16)/Datos!BD16),((NºAsuntos!G16/NºAsuntos!E16)-Datos!BD16)/Datos!BD16," - ")</f>
        <v>-3.8519179318407579E-2</v>
      </c>
      <c r="I16" s="456">
        <f>IF(ISNUMBER(((NºAsuntos!I16/NºAsuntos!G16)-Datos!BE16)/Datos!BE16),((NºAsuntos!I16/NºAsuntos!G16)-Datos!BE16)/Datos!BE16," - ")</f>
        <v>4.8840441434122854E-2</v>
      </c>
      <c r="J16" s="461">
        <f>IF(ISNUMBER((('Resol  Asuntos'!D16/NºAsuntos!G16)-Datos!BF16)/Datos!BF16),(('Resol  Asuntos'!D16/NºAsuntos!G16)-Datos!BF16)/Datos!BF16," - ")</f>
        <v>0.18343221812227339</v>
      </c>
      <c r="K16" s="462">
        <f>IF(ISNUMBER((((NºAsuntos!C16+NºAsuntos!E16)/NºAsuntos!G16)-Datos!BG16)/Datos!BG16),(((NºAsuntos!C16+NºAsuntos!E16)/NºAsuntos!G16)-Datos!BG16)/Datos!BG16," - ")</f>
        <v>8.0513462965978218E-3</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0.72513089005235598</v>
      </c>
      <c r="C17" s="456">
        <f>IF(ISNUMBER(
   IF(D_I="SI",(Datos!J17-Datos!T17)/Datos!T17,(Datos!J17+Datos!AD17-(Datos!T17+Datos!AL17))/(Datos!T17+Datos!AL17))
     ),IF(D_I="SI",(Datos!J17-Datos!T17)/Datos!T17,(Datos!J17+Datos!AD17-(Datos!T17+Datos!AL17))/(Datos!T17+Datos!AL17))," - ")</f>
        <v>-0.45858498705780848</v>
      </c>
      <c r="D17" s="456">
        <f>IF(ISNUMBER(
   IF(D_I="SI",(Datos!K17-Datos!U17)/Datos!U17,(Datos!K17+Datos!AE17-(Datos!U17+Datos!AM17))/(Datos!U17+Datos!AM17))
     ),IF(D_I="SI",(Datos!K17-Datos!U17)/Datos!U17,(Datos!K17+Datos!AE17-(Datos!U17+Datos!AM17))/(Datos!U17+Datos!AM17))," - ")</f>
        <v>-0.34884860362567371</v>
      </c>
      <c r="E17" s="456">
        <f>IF(ISNUMBER(
   IF(D_I="SI",(Datos!L17-Datos!V17)/Datos!V17,(Datos!L17+Datos!AF17-(Datos!V17+Datos!AN17))/(Datos!V17+Datos!AN17))
     ),IF(D_I="SI",(Datos!L17-Datos!V17)/Datos!V17,(Datos!L17+Datos!AF17-(Datos!V17+Datos!AN17))/(Datos!V17+Datos!AN17))," - ")</f>
        <v>-0.11229135053110774</v>
      </c>
      <c r="F17" s="456">
        <f>IF(ISNUMBER((Datos!M17-Datos!W17)/Datos!W17),(Datos!M17-Datos!W17)/Datos!W17," - ")</f>
        <v>0.2608695652173913</v>
      </c>
      <c r="G17" s="457">
        <f>IF(ISNUMBER((Datos!N17-Datos!X17)/Datos!X17),(Datos!N17-Datos!X17)/Datos!X17," - ")</f>
        <v>-0.27000964320154291</v>
      </c>
      <c r="H17" s="455">
        <f>IF(ISNUMBER(((NºAsuntos!G17/NºAsuntos!E17)-Datos!BD17)/Datos!BD17),((NºAsuntos!G17/NºAsuntos!E17)-Datos!BD17)/Datos!BD17," - ")</f>
        <v>0.20268441178939323</v>
      </c>
      <c r="I17" s="456">
        <f>IF(ISNUMBER(((NºAsuntos!I17/NºAsuntos!G17)-Datos!BE17)/Datos!BE17),((NºAsuntos!I17/NºAsuntos!G17)-Datos!BE17)/Datos!BE17," - ")</f>
        <v>0.36329070998194812</v>
      </c>
      <c r="J17" s="461">
        <f>IF(ISNUMBER((('Resol  Asuntos'!D17/NºAsuntos!G17)-Datos!BF17)/Datos!BF17),(('Resol  Asuntos'!D17/NºAsuntos!G17)-Datos!BF17)/Datos!BF17," - ")</f>
        <v>0.93636928713972611</v>
      </c>
      <c r="K17" s="462">
        <f>IF(ISNUMBER((((NºAsuntos!C17+NºAsuntos!E17)/NºAsuntos!G17)-Datos!BG17)/Datos!BG17),(((NºAsuntos!C17+NºAsuntos!E17)/NºAsuntos!G17)-Datos!BG17)/Datos!BG17," - ")</f>
        <v>8.8669843658556846E-2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8.2992402104032734E-2</v>
      </c>
      <c r="C18" s="855">
        <f>IF(ISNUMBER(
   IF(Criterios!B14="SI",(Datos!J18-Datos!T18)/Datos!T18,(Datos!J18+Datos!AD18-(Datos!T18+Datos!AL18))/(Datos!T18+Datos!AL18))
     ),IF(Criterios!B14="SI",(Datos!J18-Datos!T18)/Datos!T18,(Datos!J18+Datos!AD18-(Datos!T18+Datos!AL18))/(Datos!T18+Datos!AL18))," - ")</f>
        <v>-0.16245901639344262</v>
      </c>
      <c r="D18" s="855">
        <f>IF(ISNUMBER(
   IF(Criterios!B14="SI",(Datos!K18-Datos!U18)/Datos!U18,(Datos!K18+Datos!AE18-(Datos!U18+Datos!AM18))/(Datos!U18+Datos!AM18))
     ),IF(Criterios!B14="SI",(Datos!K18-Datos!U18)/Datos!U18,(Datos!K18+Datos!AE18-(Datos!U18+Datos!AM18))/(Datos!U18+Datos!AM18))," - ")</f>
        <v>-0.13296352328122374</v>
      </c>
      <c r="E18" s="855">
        <f>IF(ISNUMBER(
   IF(Criterios!B14="SI",(Datos!L18-Datos!V18)/Datos!V18,(Datos!L18+Datos!AF18-(Datos!V18+Datos!AN18))/(Datos!V18+Datos!AN18))
     ),IF(Criterios!B14="SI",(Datos!L18-Datos!V18)/Datos!V18,(Datos!L18+Datos!AF18-(Datos!V18+Datos!AN18))/(Datos!V18+Datos!AN18))," - ")</f>
        <v>-2.2126281705342688E-2</v>
      </c>
      <c r="F18" s="856">
        <f>IF(ISNUMBER((Datos!M18-Datos!W18)/Datos!W18),(Datos!M18-Datos!W18)/Datos!W18," - ")</f>
        <v>0.18722139673105498</v>
      </c>
      <c r="G18" s="857">
        <f>IF(ISNUMBER((Datos!N18-Datos!X18)/Datos!X18),(Datos!N18-Datos!X18)/Datos!X18," - ")</f>
        <v>-0.11408144233758159</v>
      </c>
      <c r="H18" s="857">
        <f>IF(ISNUMBER(((NºAsuntos!G18/NºAsuntos!E18)-Datos!BD18)/Datos!BD18),((NºAsuntos!G18/NºAsuntos!E18)-Datos!BD18)/Datos!BD18," - ")</f>
        <v>3.5216775882665044E-2</v>
      </c>
      <c r="I18" s="857">
        <f>IF(ISNUMBER(((NºAsuntos!I18/NºAsuntos!G18)-Datos!BE18)/Datos!BE18),((NºAsuntos!I18/NºAsuntos!G18)-Datos!BE18)/Datos!BE18," - ")</f>
        <v>0.12783457738172072</v>
      </c>
      <c r="J18" s="857">
        <f>IF(ISNUMBER((('Resol  Asuntos'!D18/NºAsuntos!G18)-Datos!BF18)/Datos!BF18),(('Resol  Asuntos'!D18/NºAsuntos!G18)-Datos!BF18)/Datos!BF18," - ")</f>
        <v>0.36928656245696895</v>
      </c>
      <c r="K18" s="857">
        <f>IF(ISNUMBER((((NºAsuntos!C18+NºAsuntos!E18)/NºAsuntos!G18)-Datos!BG18)/Datos!BG18),(((NºAsuntos!C18+NºAsuntos!E18)/NºAsuntos!G18)-Datos!BG18)/Datos!BG18," - ")</f>
        <v>2.7992656482250716E-2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0.16670426347845702</v>
      </c>
      <c r="C19" s="802">
        <f>IF(ISNUMBER(
   IF(J_V="SI",(Datos!J19-Datos!T19)/Datos!T19,(Datos!J19+Datos!Z19-(Datos!T19+Datos!AH19))/(Datos!T19+Datos!AH19))
     ),IF(J_V="SI",(Datos!J19-Datos!T19)/Datos!T19,(Datos!J19+Datos!Z19-(Datos!T19+Datos!AH19))/(Datos!T19+Datos!AH19))," - ")</f>
        <v>-0.11247443762781185</v>
      </c>
      <c r="D19" s="802">
        <f>IF(ISNUMBER(
   IF(J_V="SI",(Datos!K19-Datos!U19)/Datos!U19,(Datos!K19+Datos!AA19-(Datos!U19+Datos!AI19))/(Datos!U19+Datos!AI19))
     ),IF(J_V="SI",(Datos!K19-Datos!U19)/Datos!U19,(Datos!K19+Datos!AA19-(Datos!U19+Datos!AI19))/(Datos!U19+Datos!AI19))," - ")</f>
        <v>-9.3006186431791968E-2</v>
      </c>
      <c r="E19" s="802">
        <f>IF(ISNUMBER(
   IF(J_V="SI",(Datos!L19-Datos!V19)/Datos!V19,(Datos!L19+Datos!AB19-(Datos!V19+Datos!AJ19))/(Datos!V19+Datos!AJ19))
     ),IF(J_V="SI",(Datos!L19-Datos!V19)/Datos!V19,(Datos!L19+Datos!AB19-(Datos!V19+Datos!AJ19))/(Datos!V19+Datos!AJ19))," - ")</f>
        <v>9.7834493426140756E-2</v>
      </c>
      <c r="F19" s="803">
        <f>IF(ISNUMBER((Datos!M19-Datos!W19)/Datos!W19),(Datos!M19-Datos!W19)/Datos!W19," - ")</f>
        <v>0.13581129378127232</v>
      </c>
      <c r="G19" s="804">
        <f>IF(ISNUMBER((Datos!N19-Datos!X19)/Datos!X19),(Datos!N19-Datos!X19)/Datos!X19," - ")</f>
        <v>-9.4013490725126478E-2</v>
      </c>
      <c r="H19" s="805">
        <f>IF(ISNUMBER((Tasas!B19-Datos!BD19)/Datos!BD19),(Tasas!B19-Datos!BD19)/Datos!BD19," - ")</f>
        <v>2.1935425886759678E-2</v>
      </c>
      <c r="I19" s="806">
        <f>IF(ISNUMBER((Tasas!C19-Datos!BE19)/Datos!BE19),(Tasas!C19-Datos!BE19)/Datos!BE19," - ")</f>
        <v>0.21041012298324893</v>
      </c>
      <c r="J19" s="807">
        <f>IF(ISNUMBER((Tasas!D19-Datos!BF19)/Datos!BF19),(Tasas!D19-Datos!BF19)/Datos!BF19," - ")</f>
        <v>-0.21402360373116333</v>
      </c>
      <c r="K19" s="807">
        <f>IF(ISNUMBER((Tasas!E19-Datos!BG19)/Datos!BG19),(Tasas!E19-Datos!BG19)/Datos!BG19," - ")</f>
        <v>7.1346370239431078E-2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28 feb.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9o7E0Nkrm0pip/QKjXK3FO4BWpg6HGYUhU9d65g3Qiy0LqE7SAIAvdnmbONNvII7fbewJYLHVCX2Wu+N/dgFrg==" saltValue="m5rX7XGeanijs9/DeDsgW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CASTELLON-CASTELLO</v>
      </c>
    </row>
    <row r="4" spans="1:7" ht="11.25" customHeight="1" thickBot="1">
      <c r="B4" s="391" t="str">
        <f>Criterios!A11 &amp;"  "&amp;Criterios!B11</f>
        <v>Resumenes por Partidos Judiciales  VILLARREAL-VILA-REAL</v>
      </c>
    </row>
    <row r="5" spans="1:7" ht="12.75" customHeight="1">
      <c r="A5" s="1210" t="str">
        <f>"Año:  " &amp;Criterios!B5 &amp; "    Trimestre   " &amp;Criterios!D5 &amp; " al " &amp;Criterios!D6</f>
        <v>Año:  2024    Trimestre   1 al 4</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1.1172413793103448</v>
      </c>
      <c r="C10" s="443">
        <f>IF(ISNUMBER(NºAsuntos!I10/NºAsuntos!G10),NºAsuntos!I10/NºAsuntos!G10," - ")</f>
        <v>0.5864197530864198</v>
      </c>
      <c r="D10" s="444">
        <f>IF(ISNUMBER('Resol  Asuntos'!D10/NºAsuntos!G10),'Resol  Asuntos'!D10/NºAsuntos!G10," - ")</f>
        <v>0.5864197530864198</v>
      </c>
      <c r="E10" s="445">
        <f>IF(ISNUMBER((NºAsuntos!C10+NºAsuntos!E10)/NºAsuntos!G10),(NºAsuntos!C10+NºAsuntos!E10)/NºAsuntos!G10," - ")</f>
        <v>1.5864197530864197</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0.86269430051813467</v>
      </c>
      <c r="C12" s="443">
        <f>IF(ISNUMBER(NºAsuntos!I12/NºAsuntos!G12),NºAsuntos!I12/NºAsuntos!G12," - ")</f>
        <v>1.1324324324324324</v>
      </c>
      <c r="D12" s="444">
        <f>IF(ISNUMBER('Resol  Asuntos'!D12/NºAsuntos!G12),'Resol  Asuntos'!D12/NºAsuntos!G12," - ")</f>
        <v>0.2087087087087087</v>
      </c>
      <c r="E12" s="445">
        <f>IF(ISNUMBER((NºAsuntos!C12+NºAsuntos!E12)/NºAsuntos!G12),(NºAsuntos!C12+NºAsuntos!E12)/NºAsuntos!G12," - ")</f>
        <v>2.1222222222222222</v>
      </c>
      <c r="G12" s="463"/>
    </row>
    <row r="13" spans="1:7" ht="14.25" thickTop="1" thickBot="1">
      <c r="A13" s="848" t="str">
        <f>Datos!A13</f>
        <v>TOTAL</v>
      </c>
      <c r="B13" s="858">
        <f>IF(ISNUMBER(NºAsuntos!G13/NºAsuntos!E13),NºAsuntos!G13/NºAsuntos!E13," - ")</f>
        <v>0.87191011235955052</v>
      </c>
      <c r="C13" s="859">
        <f>IF(ISNUMBER(NºAsuntos!I13/NºAsuntos!G13),NºAsuntos!I13/NºAsuntos!G13," - ")</f>
        <v>1.1071019473081329</v>
      </c>
      <c r="D13" s="860">
        <f>IF(ISNUMBER('Resol  Asuntos'!D13/NºAsuntos!G13),'Resol  Asuntos'!D13/NºAsuntos!G13," - ")</f>
        <v>0.22623138602520046</v>
      </c>
      <c r="E13" s="861">
        <f>IF(ISNUMBER((NºAsuntos!C13+NºAsuntos!E13)/NºAsuntos!G13),(NºAsuntos!C13+NºAsuntos!E13)/NºAsuntos!G13," - ")</f>
        <v>2.0973654066437573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0.99351323300467043</v>
      </c>
      <c r="C16" s="443">
        <f>IF(ISNUMBER(NºAsuntos!I16/NºAsuntos!G16),NºAsuntos!I16/NºAsuntos!G16," - ")</f>
        <v>0.32044920344737532</v>
      </c>
      <c r="D16" s="444">
        <f>IF(ISNUMBER('Resol  Asuntos'!D16/NºAsuntos!G16),'Resol  Asuntos'!D16/NºAsuntos!G16," - ")</f>
        <v>0.14808043875685559</v>
      </c>
      <c r="E16" s="445">
        <f>IF(ISNUMBER((NºAsuntos!C16+NºAsuntos!E16)/NºAsuntos!G16),(NºAsuntos!C16+NºAsuntos!E16)/NºAsuntos!G16," - ")</f>
        <v>1.3183598850874902</v>
      </c>
      <c r="G16" s="463"/>
    </row>
    <row r="17" spans="1:7" ht="13.5" thickBot="1">
      <c r="A17" s="402" t="str">
        <f>Datos!A17</f>
        <v>Jdos. Violencia contra la mujer</v>
      </c>
      <c r="B17" s="442">
        <f>IF(ISNUMBER(NºAsuntos!G17/NºAsuntos!E17),NºAsuntos!G17/NºAsuntos!E17," - ")</f>
        <v>1.0589641434262949</v>
      </c>
      <c r="C17" s="443">
        <f>IF(ISNUMBER(NºAsuntos!I17/NºAsuntos!G17),NºAsuntos!I17/NºAsuntos!G17," - ")</f>
        <v>0.44018058690744921</v>
      </c>
      <c r="D17" s="444">
        <f>IF(ISNUMBER('Resol  Asuntos'!D17/NºAsuntos!G17),'Resol  Asuntos'!D17/NºAsuntos!G17," - ")</f>
        <v>0.17456734386756961</v>
      </c>
      <c r="E17" s="445">
        <f>IF(ISNUMBER((NºAsuntos!C17+NºAsuntos!E17)/NºAsuntos!G17),(NºAsuntos!C17+NºAsuntos!E17)/NºAsuntos!G17," - ")</f>
        <v>1.4401805869074491</v>
      </c>
      <c r="G17" s="463"/>
    </row>
    <row r="18" spans="1:7" ht="14.25" thickTop="1" thickBot="1">
      <c r="A18" s="848" t="str">
        <f>Datos!A18</f>
        <v>TOTAL</v>
      </c>
      <c r="B18" s="858">
        <f>IF(ISNUMBER(NºAsuntos!G18/NºAsuntos!E18),NºAsuntos!G18/NºAsuntos!E18," - ")</f>
        <v>1.0095909179878646</v>
      </c>
      <c r="C18" s="859">
        <f>IF(ISNUMBER(NºAsuntos!I18/NºAsuntos!G18),NºAsuntos!I18/NºAsuntos!G18," - ")</f>
        <v>0.35129895308259013</v>
      </c>
      <c r="D18" s="862">
        <f>IF(ISNUMBER('Resol  Asuntos'!D18/NºAsuntos!G18),'Resol  Asuntos'!D18/NºAsuntos!G18," - ")</f>
        <v>0.15490500193873594</v>
      </c>
      <c r="E18" s="861">
        <f>IF(ISNUMBER((NºAsuntos!C18+NºAsuntos!E18)/NºAsuntos!G18),(NºAsuntos!C18+NºAsuntos!E18)/NºAsuntos!G18," - ")</f>
        <v>1.3497479643272585</v>
      </c>
      <c r="G18" s="463"/>
    </row>
    <row r="19" spans="1:7" ht="15.75" customHeight="1" thickTop="1" thickBot="1">
      <c r="A19" s="793" t="str">
        <f>Datos!A19</f>
        <v>TOTAL JURISDICCIONES</v>
      </c>
      <c r="B19" s="808">
        <f>IF(ISNUMBER(NºAsuntos!G19/NºAsuntos!E19),NºAsuntos!G19/NºAsuntos!E19," - ")</f>
        <v>0.94908931314461265</v>
      </c>
      <c r="C19" s="809">
        <f>IF(ISNUMBER(NºAsuntos!I19/NºAsuntos!G19),NºAsuntos!I19/NºAsuntos!G19," - ")</f>
        <v>0.65641618497109822</v>
      </c>
      <c r="D19" s="810">
        <f>IF(ISNUMBER('Resol  Asuntos'!D19/NºAsuntos!G19),'Resol  Asuntos'!D19/NºAsuntos!G19," - ")</f>
        <v>0.18369942196531791</v>
      </c>
      <c r="E19" s="811">
        <f>IF(ISNUMBER((NºAsuntos!C19+NºAsuntos!E19)/NºAsuntos!G19),(NºAsuntos!C19+NºAsuntos!E19)/NºAsuntos!G19," - ")</f>
        <v>1.6515606936416185</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28 feb.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XCFYUO6eJAfwfVlvprZmlXJM5DhFgTyjph+zuJ3hOKzj/wx/RuP7Q8PxDMy46osHdOGyYEwYdiUXfcepWJAMmA==" saltValue="7EetTTYTuXAyaMafrXbL4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CASTELLON-CASTELLO</v>
      </c>
      <c r="N2" s="262" t="str">
        <f>Criterios!A11 &amp;"  "&amp;Criterios!B11</f>
        <v>Resumenes por Partidos Judiciales  VILLARREAL-VILA-REAL</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1 al 4</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1</v>
      </c>
      <c r="F10" s="225">
        <f>IF(ISNUMBER(Datos!L10+Datos!K10-Datos!J10-K10),Datos!L10+Datos!K10-Datos!J10-K10," - ")</f>
        <v>112</v>
      </c>
      <c r="G10" s="333">
        <f>IF(ISNUMBER(Datos!I10),Datos!I10," - ")</f>
        <v>112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53</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162</v>
      </c>
      <c r="X10" s="226">
        <f>IF(ISNUMBER(Datos!Q10),Datos!Q10," - ")</f>
        <v>61</v>
      </c>
      <c r="Y10" s="334">
        <f t="shared" ref="Y10:Y12" si="0">SUM(W10:X10)</f>
        <v>223</v>
      </c>
      <c r="Z10" s="335" t="str">
        <f>IF(ISNUMBER(Datos!CC10),Datos!CC10," - ")</f>
        <v xml:space="preserve"> - </v>
      </c>
      <c r="AA10" s="332">
        <f>IF(ISNUMBER(Datos!L10),Datos!L10,"-")</f>
        <v>95</v>
      </c>
      <c r="AB10" s="334">
        <f>IF(ISNUMBER(Datos!R10),Datos!R10," - ")</f>
        <v>33</v>
      </c>
      <c r="AC10" s="334">
        <f t="shared" ref="AC10:AC12" si="1">IF(ISNUMBER(AA10+AB10),AA10+AB10," - ")</f>
        <v>128</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95</v>
      </c>
      <c r="AJ10" s="231" t="str">
        <f>IF(ISNUMBER(Datos!BW10),Datos!BW10," - ")</f>
        <v xml:space="preserve"> - </v>
      </c>
      <c r="AK10" s="232" t="str">
        <f>IF(ISNUMBER(Datos!BX10),Datos!BX10," - ")</f>
        <v xml:space="preserve"> - </v>
      </c>
      <c r="AL10" s="243">
        <f>IF(ISNUMBER(NºAsuntos!G10/NºAsuntos!E10),NºAsuntos!G10/NºAsuntos!E10," - ")</f>
        <v>1.1172413793103448</v>
      </c>
      <c r="AM10" s="260">
        <f>IF(ISNUMBER(((NºAsuntos!I10/NºAsuntos!G10)*11)/factor_trimestre),((NºAsuntos!I10/NºAsuntos!G10)*11)/factor_trimestre," - ")</f>
        <v>6.450617283950618</v>
      </c>
      <c r="AN10" s="244">
        <f>IF(ISNUMBER('Resol  Asuntos'!D10/NºAsuntos!G10),'Resol  Asuntos'!D10/NºAsuntos!G10," - ")</f>
        <v>0.5864197530864198</v>
      </c>
      <c r="AO10" s="245">
        <f>IF(ISNUMBER((NºAsuntos!C10+NºAsuntos!E10)/NºAsuntos!G10),(NºAsuntos!C10+NºAsuntos!E10)/NºAsuntos!G10," - ")</f>
        <v>1.5864197530864197</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5</v>
      </c>
      <c r="B12" s="275" t="s">
        <v>246</v>
      </c>
      <c r="C12" s="7" t="str">
        <f>Datos!A12</f>
        <v xml:space="preserve">Jdos. 1ª Instª. e Instr.                        </v>
      </c>
      <c r="D12" s="7"/>
      <c r="E12" s="1025">
        <f>IF(ISNUMBER(Datos!AQ12),Datos!AQ12," - ")</f>
        <v>5</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790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520</v>
      </c>
      <c r="Y12" s="334">
        <f t="shared" si="0"/>
        <v>520</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5124</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695</v>
      </c>
      <c r="AJ12" s="229" t="str">
        <f>IF(ISNUMBER(Datos!BW12),Datos!BW12," - ")</f>
        <v xml:space="preserve"> - </v>
      </c>
      <c r="AK12" s="228" t="str">
        <f>IF(ISNUMBER(Datos!BX12),Datos!BX12," - ")</f>
        <v xml:space="preserve"> - </v>
      </c>
      <c r="AL12" s="243">
        <f>IF(ISNUMBER(NºAsuntos!G12/NºAsuntos!E12),NºAsuntos!G12/NºAsuntos!E12," - ")</f>
        <v>0.86269430051813467</v>
      </c>
      <c r="AM12" s="260">
        <f>IF(ISNUMBER(((NºAsuntos!I12/NºAsuntos!G12)*11)/factor_trimestre),((NºAsuntos!I12/NºAsuntos!G12)*11)/factor_trimestre," - ")</f>
        <v>12.456756756756757</v>
      </c>
      <c r="AN12" s="244">
        <f>IF(ISNUMBER('Resol  Asuntos'!D12/NºAsuntos!G12),'Resol  Asuntos'!D12/NºAsuntos!G12," - ")</f>
        <v>0.2087087087087087</v>
      </c>
      <c r="AO12" s="245">
        <f>IF(ISNUMBER((NºAsuntos!C12+NºAsuntos!E12)/NºAsuntos!G12),(NºAsuntos!C12+NºAsuntos!E12)/NºAsuntos!G12," - ")</f>
        <v>2.1222222222222222</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6</v>
      </c>
      <c r="F13" s="865">
        <f t="shared" si="3"/>
        <v>112</v>
      </c>
      <c r="G13" s="866">
        <f t="shared" si="3"/>
        <v>112</v>
      </c>
      <c r="H13" s="865">
        <f t="shared" si="3"/>
        <v>0</v>
      </c>
      <c r="I13" s="867">
        <f t="shared" si="3"/>
        <v>0</v>
      </c>
      <c r="J13" s="867">
        <f t="shared" si="3"/>
        <v>0</v>
      </c>
      <c r="K13" s="867">
        <f t="shared" si="3"/>
        <v>0</v>
      </c>
      <c r="L13" s="867">
        <f t="shared" si="3"/>
        <v>843</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162</v>
      </c>
      <c r="X13" s="867">
        <f t="shared" si="4"/>
        <v>581</v>
      </c>
      <c r="Y13" s="868">
        <f t="shared" si="4"/>
        <v>743</v>
      </c>
      <c r="Z13" s="868">
        <f t="shared" si="4"/>
        <v>0</v>
      </c>
      <c r="AA13" s="868">
        <f t="shared" si="4"/>
        <v>95</v>
      </c>
      <c r="AB13" s="868">
        <f t="shared" si="4"/>
        <v>5157</v>
      </c>
      <c r="AC13" s="868">
        <f t="shared" si="4"/>
        <v>128</v>
      </c>
      <c r="AD13" s="868">
        <f t="shared" si="4"/>
        <v>0</v>
      </c>
      <c r="AE13" s="872">
        <f t="shared" si="4"/>
        <v>0</v>
      </c>
      <c r="AF13" s="865">
        <f t="shared" si="4"/>
        <v>0</v>
      </c>
      <c r="AG13" s="873">
        <f t="shared" si="4"/>
        <v>0</v>
      </c>
      <c r="AH13" s="870">
        <f t="shared" si="4"/>
        <v>0</v>
      </c>
      <c r="AI13" s="865">
        <f t="shared" si="4"/>
        <v>790</v>
      </c>
      <c r="AJ13" s="867">
        <f t="shared" si="4"/>
        <v>0</v>
      </c>
      <c r="AK13" s="870">
        <f>SUBTOTAL(9,AK9:AK12)</f>
        <v>0</v>
      </c>
      <c r="AL13" s="874">
        <f>IF(ISNUMBER(NºAsuntos!G13/NºAsuntos!E13),NºAsuntos!G13/NºAsuntos!E13," - ")</f>
        <v>0.87191011235955052</v>
      </c>
      <c r="AM13" s="874">
        <f>IF(ISNUMBER(((NºAsuntos!I13/NºAsuntos!G13)*11)/factor_trimestre),((NºAsuntos!I13/NºAsuntos!G13)*11)/factor_trimestre," - ")</f>
        <v>12.178121420389463</v>
      </c>
      <c r="AN13" s="875">
        <f>IF(ISNUMBER('Resol  Asuntos'!D13/NºAsuntos!G13),'Resol  Asuntos'!D13/NºAsuntos!G13," - ")</f>
        <v>0.22623138602520046</v>
      </c>
      <c r="AO13" s="876">
        <f>IF(ISNUMBER((NºAsuntos!C13+NºAsuntos!E13)/NºAsuntos!G13),(NºAsuntos!C13+NºAsuntos!E13)/NºAsuntos!G13," - ")</f>
        <v>2.0973654066437573</v>
      </c>
      <c r="AP13" s="877" t="str">
        <f t="shared" si="2"/>
        <v xml:space="preserve"> - </v>
      </c>
      <c r="AQ13" s="877">
        <f>IF(ISNUMBER((H13-W13+K13)/(F13)),(H13-W13+K13)/(F13)," - ")</f>
        <v>-1.4464285714285714</v>
      </c>
      <c r="AR13" s="878">
        <f>IF(ISNUMBER((Datos!P13-Datos!Q13)/(Datos!R13-Datos!P13+Datos!Q13)),(Datos!P13-Datos!Q13)/(Datos!R13-Datos!P13+Datos!Q13)," - ")</f>
        <v>5.3524004085801838E-2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5</v>
      </c>
      <c r="B16" s="275" t="s">
        <v>396</v>
      </c>
      <c r="C16" s="160" t="str">
        <f>Datos!A16</f>
        <v xml:space="preserve">Jdos. 1ª Instª. e Instr.                        </v>
      </c>
      <c r="D16" s="160"/>
      <c r="E16" s="1025">
        <f>IF(ISNUMBER(Datos!AQ16),Datos!AQ16," - ")</f>
        <v>5</v>
      </c>
      <c r="F16" s="225">
        <f>IF(ISNUMBER(AA16+W16-Datos!J16-K16),AA16+W16-Datos!J16-K16," - ")</f>
        <v>1202</v>
      </c>
      <c r="G16" s="333">
        <f>IF(ISNUMBER(IF(D_I="SI",Datos!I16,Datos!I16+Datos!AC16)),IF(D_I="SI",Datos!I16,Datos!I16+Datos!AC16)," - ")</f>
        <v>1194</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171</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3829</v>
      </c>
      <c r="X16" s="226">
        <f>IF(ISNUMBER(Datos!Q16),Datos!Q16," - ")</f>
        <v>113</v>
      </c>
      <c r="Y16" s="334">
        <f t="shared" ref="Y16:Y17" si="7">SUM(W16:X16)</f>
        <v>3942</v>
      </c>
      <c r="Z16" s="335" t="str">
        <f>IF(ISNUMBER(Datos!CC16),Datos!CC16," - ")</f>
        <v xml:space="preserve"> - </v>
      </c>
      <c r="AA16" s="332">
        <f>IF(ISNUMBER(IF(D_I="SI",Datos!L16,Datos!L16+Datos!AF16)),IF(D_I="SI",Datos!L16,Datos!L16+Datos!AF16)," - ")</f>
        <v>1227</v>
      </c>
      <c r="AB16" s="334">
        <f>IF(ISNUMBER(Datos!R16),Datos!R16," - ")</f>
        <v>260</v>
      </c>
      <c r="AC16" s="334">
        <f t="shared" si="6"/>
        <v>1487</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567</v>
      </c>
      <c r="AJ16" s="231" t="str">
        <f>IF(ISNUMBER(Datos!BW16),Datos!BW16," - ")</f>
        <v xml:space="preserve"> - </v>
      </c>
      <c r="AK16" s="232" t="str">
        <f>IF(ISNUMBER(Datos!BX16),Datos!BX16," - ")</f>
        <v xml:space="preserve"> - </v>
      </c>
      <c r="AL16" s="243">
        <f>IF(ISNUMBER(NºAsuntos!G16/NºAsuntos!E16),NºAsuntos!G16/NºAsuntos!E16," - ")</f>
        <v>0.99351323300467043</v>
      </c>
      <c r="AM16" s="260">
        <f>IF(ISNUMBER(((NºAsuntos!I16/NºAsuntos!G16)*11)/factor_trimestre),((NºAsuntos!I16/NºAsuntos!G16)*11)/factor_trimestre," - ")</f>
        <v>3.5249412379211287</v>
      </c>
      <c r="AN16" s="244">
        <f>IF(ISNUMBER('Resol  Asuntos'!D16/NºAsuntos!G16),'Resol  Asuntos'!D16/NºAsuntos!G16," - ")</f>
        <v>0.14808043875685559</v>
      </c>
      <c r="AO16" s="245">
        <f>IF(ISNUMBER((NºAsuntos!C16+NºAsuntos!E16)/NºAsuntos!G16),(NºAsuntos!C16+NºAsuntos!E16)/NºAsuntos!G16," - ")</f>
        <v>1.3183598850874902</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659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18</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1329</v>
      </c>
      <c r="X17" s="226">
        <f>IF(ISNUMBER(Datos!Q17),Datos!Q17," - ")</f>
        <v>14</v>
      </c>
      <c r="Y17" s="334">
        <f t="shared" si="7"/>
        <v>1343</v>
      </c>
      <c r="Z17" s="335" t="str">
        <f>IF(ISNUMBER(Datos!CC17),Datos!CC17," - ")</f>
        <v xml:space="preserve"> - </v>
      </c>
      <c r="AA17" s="332">
        <f>IF(ISNUMBER(Datos!L17),Datos!L17,"-")</f>
        <v>585</v>
      </c>
      <c r="AB17" s="334">
        <f>IF(ISNUMBER(Datos!R17),Datos!R17," - ")</f>
        <v>13</v>
      </c>
      <c r="AC17" s="334">
        <f t="shared" si="6"/>
        <v>598</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232</v>
      </c>
      <c r="AJ17" s="231" t="str">
        <f>IF(ISNUMBER(Datos!BW17),Datos!BW17," - ")</f>
        <v xml:space="preserve"> - </v>
      </c>
      <c r="AK17" s="232" t="str">
        <f>IF(ISNUMBER(Datos!BX17),Datos!BX17," - ")</f>
        <v xml:space="preserve"> - </v>
      </c>
      <c r="AL17" s="243">
        <f>IF(ISNUMBER(NºAsuntos!G17/NºAsuntos!E17),NºAsuntos!G17/NºAsuntos!E17," - ")</f>
        <v>1.0589641434262949</v>
      </c>
      <c r="AM17" s="260">
        <f>IF(ISNUMBER(((NºAsuntos!I17/NºAsuntos!G17)*11)/factor_trimestre),((NºAsuntos!I17/NºAsuntos!G17)*11)/factor_trimestre," - ")</f>
        <v>4.8419864559819414</v>
      </c>
      <c r="AN17" s="244">
        <f>IF(ISNUMBER('Resol  Asuntos'!D17/NºAsuntos!G17),'Resol  Asuntos'!D17/NºAsuntos!G17," - ")</f>
        <v>0.17456734386756961</v>
      </c>
      <c r="AO17" s="245">
        <f>IF(ISNUMBER((NºAsuntos!C17+NºAsuntos!E17)/NºAsuntos!G17),(NºAsuntos!C17+NºAsuntos!E17)/NºAsuntos!G17," - ")</f>
        <v>1.4401805869074491</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6</v>
      </c>
      <c r="F18" s="865">
        <f>SUBTOTAL(9,F14:F17)</f>
        <v>1202</v>
      </c>
      <c r="G18" s="866">
        <f>SUBTOTAL(9,G15:G17)</f>
        <v>1853</v>
      </c>
      <c r="H18" s="865">
        <f t="shared" ref="H18:O18" si="10">SUBTOTAL(9,H14:H17)</f>
        <v>0</v>
      </c>
      <c r="I18" s="867">
        <f t="shared" si="10"/>
        <v>0</v>
      </c>
      <c r="J18" s="867">
        <f t="shared" si="10"/>
        <v>0</v>
      </c>
      <c r="K18" s="867">
        <f t="shared" si="10"/>
        <v>0</v>
      </c>
      <c r="L18" s="867">
        <f t="shared" si="10"/>
        <v>189</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5158</v>
      </c>
      <c r="X18" s="867">
        <f t="shared" si="11"/>
        <v>127</v>
      </c>
      <c r="Y18" s="868">
        <f t="shared" si="11"/>
        <v>5285</v>
      </c>
      <c r="Z18" s="868">
        <f t="shared" si="11"/>
        <v>0</v>
      </c>
      <c r="AA18" s="868">
        <f t="shared" si="11"/>
        <v>1812</v>
      </c>
      <c r="AB18" s="868">
        <f t="shared" si="11"/>
        <v>273</v>
      </c>
      <c r="AC18" s="868">
        <f t="shared" si="11"/>
        <v>2085</v>
      </c>
      <c r="AD18" s="868">
        <f t="shared" si="11"/>
        <v>0</v>
      </c>
      <c r="AE18" s="872">
        <f t="shared" si="11"/>
        <v>0</v>
      </c>
      <c r="AF18" s="865">
        <f t="shared" si="11"/>
        <v>0</v>
      </c>
      <c r="AG18" s="873">
        <f t="shared" si="11"/>
        <v>0</v>
      </c>
      <c r="AH18" s="870">
        <f t="shared" si="11"/>
        <v>0</v>
      </c>
      <c r="AI18" s="865">
        <f t="shared" si="11"/>
        <v>799</v>
      </c>
      <c r="AJ18" s="867">
        <f t="shared" si="11"/>
        <v>0</v>
      </c>
      <c r="AK18" s="870">
        <f t="shared" si="11"/>
        <v>0</v>
      </c>
      <c r="AL18" s="874">
        <f>IF(ISNUMBER(NºAsuntos!G18/NºAsuntos!E18),NºAsuntos!G18/NºAsuntos!E18," - ")</f>
        <v>1.0095909179878646</v>
      </c>
      <c r="AM18" s="874">
        <f>IF(ISNUMBER(((NºAsuntos!I18/NºAsuntos!G18)*11)/factor_trimestre),((NºAsuntos!I18/NºAsuntos!G18)*11)/factor_trimestre," - ")</f>
        <v>3.8642884839084912</v>
      </c>
      <c r="AN18" s="875">
        <f>IF(ISNUMBER('Resol  Asuntos'!D18/NºAsuntos!G18),'Resol  Asuntos'!D18/NºAsuntos!G18," - ")</f>
        <v>0.15490500193873594</v>
      </c>
      <c r="AO18" s="876">
        <f>IF(ISNUMBER((NºAsuntos!C18+NºAsuntos!E18)/NºAsuntos!G18),(NºAsuntos!C18+NºAsuntos!E18)/NºAsuntos!G18," - ")</f>
        <v>1.3497479643272585</v>
      </c>
      <c r="AP18" s="877" t="str">
        <f t="shared" si="2"/>
        <v xml:space="preserve"> - </v>
      </c>
      <c r="AQ18" s="877">
        <f>IF(ISNUMBER((H18-W18+K18)/(F18)),(H18-W18+K18)/(F18)," - ")</f>
        <v>-4.2911813643926786</v>
      </c>
      <c r="AR18" s="878">
        <f>IF(ISNUMBER((Datos!P18-Datos!Q18)/(Datos!R18-Datos!P18+Datos!Q18)),(Datos!P18-Datos!Q18)/(Datos!R18-Datos!P18+Datos!Q18)," - ")</f>
        <v>0.29383886255924169</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12</v>
      </c>
      <c r="F19" s="820">
        <f t="shared" si="13"/>
        <v>1314</v>
      </c>
      <c r="G19" s="821">
        <f t="shared" si="13"/>
        <v>1965</v>
      </c>
      <c r="H19" s="820">
        <f t="shared" si="13"/>
        <v>0</v>
      </c>
      <c r="I19" s="822">
        <f t="shared" si="13"/>
        <v>0</v>
      </c>
      <c r="J19" s="822">
        <f t="shared" si="13"/>
        <v>0</v>
      </c>
      <c r="K19" s="881">
        <f t="shared" si="13"/>
        <v>0</v>
      </c>
      <c r="L19" s="822">
        <f t="shared" si="13"/>
        <v>1032</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5320</v>
      </c>
      <c r="X19" s="821">
        <f t="shared" si="14"/>
        <v>708</v>
      </c>
      <c r="Y19" s="828">
        <f t="shared" si="14"/>
        <v>6028</v>
      </c>
      <c r="Z19" s="828">
        <f t="shared" si="14"/>
        <v>0</v>
      </c>
      <c r="AA19" s="828">
        <f t="shared" si="14"/>
        <v>1907</v>
      </c>
      <c r="AB19" s="828">
        <f t="shared" si="14"/>
        <v>5430</v>
      </c>
      <c r="AC19" s="828">
        <f t="shared" si="14"/>
        <v>2213</v>
      </c>
      <c r="AD19" s="828">
        <f t="shared" si="14"/>
        <v>0</v>
      </c>
      <c r="AE19" s="830">
        <f t="shared" si="14"/>
        <v>0</v>
      </c>
      <c r="AF19" s="831">
        <f t="shared" si="14"/>
        <v>0</v>
      </c>
      <c r="AG19" s="832">
        <f t="shared" si="14"/>
        <v>0</v>
      </c>
      <c r="AH19" s="830">
        <f t="shared" si="14"/>
        <v>0</v>
      </c>
      <c r="AI19" s="820">
        <f t="shared" si="14"/>
        <v>1589</v>
      </c>
      <c r="AJ19" s="820">
        <f t="shared" si="14"/>
        <v>0</v>
      </c>
      <c r="AK19" s="830">
        <f t="shared" si="14"/>
        <v>0</v>
      </c>
      <c r="AL19" s="884">
        <f>IF(ISNUMBER(NºAsuntos!G19/NºAsuntos!E19),NºAsuntos!G19/NºAsuntos!E19," - ")</f>
        <v>0.94908931314461265</v>
      </c>
      <c r="AM19" s="885">
        <f>IF(ISNUMBER(((NºAsuntos!I19/NºAsuntos!G19)*11)/factor_trimestre),((NºAsuntos!I19/NºAsuntos!G19)*11)/factor_trimestre," - ")</f>
        <v>7.22057803468208</v>
      </c>
      <c r="AN19" s="885">
        <f>IF(ISNUMBER('Resol  Asuntos'!D19/NºAsuntos!G19),'Resol  Asuntos'!D19/NºAsuntos!G19," - ")</f>
        <v>0.18369942196531791</v>
      </c>
      <c r="AO19" s="886">
        <f>IF(ISNUMBER((NºAsuntos!C19+NºAsuntos!E19)/NºAsuntos!G19),(NºAsuntos!C19+NºAsuntos!E19)/NºAsuntos!G19," - ")</f>
        <v>1.6515606936416185</v>
      </c>
      <c r="AP19" s="887" t="str">
        <f t="shared" si="2"/>
        <v xml:space="preserve"> - </v>
      </c>
      <c r="AQ19" s="888">
        <f>IF(OR(ISNUMBER(FIND("01",Criterios!A8,1)),ISNUMBER(FIND("02",Criterios!A8,1)),ISNUMBER(FIND("03",Criterios!A8,1)),ISNUMBER(FIND("04",Criterios!A8,1))),(I19-W19+K19)/(F19-K19),(H19-W19+K19)/(F19-K19))</f>
        <v>-4.0487062404870624</v>
      </c>
      <c r="AR19" s="889">
        <f>IF(ISNUMBER((Datos!P19-Datos!Q19)/(Datos!R19-Datos!P19+Datos!Q19)),(Datos!P19-Datos!Q19)/(Datos!R19-Datos!P19+Datos!Q19)," - ")</f>
        <v>6.3454759106933017E-2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786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2.7386127875258306</v>
      </c>
      <c r="F21" s="252">
        <f>IF(ISNUMBER(STDEV(F8:F18)),STDEV(F8:F18),"-")</f>
        <v>629.31179341669201</v>
      </c>
      <c r="G21" s="253">
        <f>IF(ISNUMBER(STDEV(G8:G18)),STDEV(G8:G18),"-")</f>
        <v>746.5979507070723</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2260.6975693356244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298.85894108536667</v>
      </c>
      <c r="AJ21" s="252">
        <f t="shared" si="18"/>
        <v>0</v>
      </c>
      <c r="AK21" s="254">
        <f t="shared" si="18"/>
        <v>0</v>
      </c>
      <c r="AL21" s="249">
        <f t="shared" si="18"/>
        <v>0.10137171081222074</v>
      </c>
      <c r="AM21" s="250">
        <f t="shared" si="18"/>
        <v>4.0784248126029397</v>
      </c>
      <c r="AN21" s="250">
        <f t="shared" si="18"/>
        <v>0.16767153138418248</v>
      </c>
      <c r="AO21" s="251">
        <f t="shared" si="18"/>
        <v>0.36641469870578092</v>
      </c>
      <c r="AP21" s="291" t="str">
        <f t="shared" si="18"/>
        <v>-</v>
      </c>
      <c r="AQ21" s="292">
        <f t="shared" si="18"/>
        <v>2.0115439907042916</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28 feb. 2025</v>
      </c>
      <c r="D30" s="120"/>
    </row>
    <row r="32" spans="1:65">
      <c r="C32" s="1"/>
      <c r="D32" s="1"/>
    </row>
  </sheetData>
  <sheetProtection algorithmName="SHA-512" hashValue="uVCKlklJzmb8Nb3PxFOr6DKXym4ypCtL6w+wMgFMgCV+ttiAAn05zcGNNoukFsjNiJyhZNv7M5LJOALB3cBnaw==" saltValue="y+HnK/EWbQyKaPQTordZe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CASTELLON-CASTELLO</v>
      </c>
      <c r="E3" s="263"/>
    </row>
    <row r="4" spans="2:20" ht="17.25" customHeight="1" thickBot="1">
      <c r="D4" s="262" t="str">
        <f>Criterios!A11 &amp;"  "&amp;Criterios!B11</f>
        <v>Resumenes por Partidos Judiciales  VILLARREAL-VILA-REAL</v>
      </c>
      <c r="E4" s="263"/>
    </row>
    <row r="5" spans="2:20" ht="12.75" customHeight="1">
      <c r="B5" s="272"/>
      <c r="C5" s="1266" t="str">
        <f>"Año:  " &amp;Criterios!B5 &amp; "          Trimestre   " &amp;Criterios!D5 &amp; " al " &amp;Criterios!D6</f>
        <v>Año:  2024          Trimestre   1 al 4</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0.55555555555555558</v>
      </c>
      <c r="E10" s="348">
        <f>IF(ISNUMBER((Datos!J10-Datos!T10)/Datos!T10),(Datos!J10-Datos!T10)/Datos!T10," - ")</f>
        <v>-0.10493827160493827</v>
      </c>
      <c r="F10" s="348">
        <f>IF(ISNUMBER((Datos!K10-Datos!U10)/Datos!U10),(Datos!K10-Datos!U10)/Datos!U10," - ")</f>
        <v>0.32786885245901637</v>
      </c>
      <c r="G10" s="349">
        <f>IF(ISNUMBER((Datos!L10-Datos!V10)/Datos!V10),(Datos!L10-Datos!V10)/Datos!V10," - ")</f>
        <v>-0.15178571428571427</v>
      </c>
      <c r="H10" s="230">
        <f>IF(ISNUMBER((Datos!M10-Datos!W10)/Datos!W10),(Datos!M10-Datos!W10)/Datos!W10," - ")</f>
        <v>0.30136986301369861</v>
      </c>
      <c r="I10" s="350">
        <f>IF(ISNUMBER((Tasas!C10-Datos!BE10)/Datos!BE10),(Tasas!C10-Datos!BE10)/Datos!BE10," - ")</f>
        <v>-0.36122134038800702</v>
      </c>
      <c r="J10" s="349">
        <f>IF(ISNUMBER((Tasas!D10-Datos!BF10)/Datos!BF10),(Tasas!D10-Datos!BF10)/Datos!BF10," - ")</f>
        <v>-1.9956029088449092E-2</v>
      </c>
      <c r="K10" s="351">
        <f>IF(ISNUMBER((Tasas!E10-Datos!BG10)/Datos!BG10),(Tasas!E10-Datos!BG10)/Datos!BG10," - ")</f>
        <v>-0.17289226548485806</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6.4318529862174581E-2</v>
      </c>
      <c r="I12" s="350">
        <f>IF(ISNUMBER((Tasas!C12-Datos!BE12)/Datos!BE12),(Tasas!C12-Datos!BE12)/Datos!BE12," - ")</f>
        <v>0.22388862201771456</v>
      </c>
      <c r="J12" s="349">
        <f>IF(ISNUMBER((Tasas!D12-Datos!BF12)/Datos!BF12),(Tasas!D12-Datos!BF12)/Datos!BF12," - ")</f>
        <v>-0.51221551963291689</v>
      </c>
      <c r="K12" s="351">
        <f>IF(ISNUMBER((Tasas!E12-Datos!BG12)/Datos!BG12),(Tasas!E12-Datos!BG12)/Datos!BG12," - ")</f>
        <v>0.10494550431458946</v>
      </c>
      <c r="M12" t="e">
        <f>IF(Monitorios="SI",Datos!CE12,0)</f>
        <v>#REF!</v>
      </c>
      <c r="N12" t="e">
        <f>IF(Monitorios="SI",Datos!CF12,0)</f>
        <v>#REF!</v>
      </c>
      <c r="O12" t="e">
        <f>IF(Monitorios="SI",Datos!CG12,0)</f>
        <v>#REF!</v>
      </c>
      <c r="P12" t="e">
        <f>IF(Monitorios="SI",Datos!CH12,0)</f>
        <v>#REF!</v>
      </c>
      <c r="Q12">
        <f>IF(J_V="SI",0,Datos!AG12)</f>
        <v>129</v>
      </c>
      <c r="R12">
        <f>IF(J_V="SI",0,Datos!AH12)</f>
        <v>252</v>
      </c>
      <c r="S12">
        <f>IF(J_V="SI",0,Datos!AI12)</f>
        <v>287</v>
      </c>
      <c r="T12">
        <f>IF(J_V="SI",0,Datos!AJ12)</f>
        <v>118</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8.8154269972451793E-2</v>
      </c>
      <c r="I13" s="357">
        <f>IF(ISNUMBER((Tasas!C13-Datos!BE13)/Datos!BE13),(Tasas!C13-Datos!BE13)/Datos!BE13," - ")</f>
        <v>0.19683090899113623</v>
      </c>
      <c r="J13" s="355">
        <f>IF(ISNUMBER((Tasas!D13-Datos!BF13)/Datos!BF13),(Tasas!D13-Datos!BF13)/Datos!BF13," - ")</f>
        <v>-0.47833019726322673</v>
      </c>
      <c r="K13" s="358">
        <f>IF(ISNUMBER((Tasas!E13-Datos!BG13)/Datos!BG13),(Tasas!E13-Datos!BG13)/Datos!BG13," - ")</f>
        <v>9.2054430276853963E-2</v>
      </c>
      <c r="M13" t="e">
        <f>IF(Monitorios="SI",Datos!CE13,0)</f>
        <v>#REF!</v>
      </c>
      <c r="N13" t="e">
        <f>IF(Monitorios="SI",Datos!CF13,0)</f>
        <v>#REF!</v>
      </c>
      <c r="O13" t="e">
        <f>IF(Monitorios="SI",Datos!CG13,0)</f>
        <v>#REF!</v>
      </c>
      <c r="P13" t="e">
        <f>IF(Monitorios="SI",Datos!CH13,0)</f>
        <v>#REF!</v>
      </c>
      <c r="Q13">
        <f>IF(J_V="SI",0,Datos!AG13)</f>
        <v>129</v>
      </c>
      <c r="R13">
        <f>IF(J_V="SI",0,Datos!AH13)</f>
        <v>252</v>
      </c>
      <c r="S13">
        <f>IF(J_V="SI",0,Datos!AI13)</f>
        <v>287</v>
      </c>
      <c r="T13">
        <f>IF(J_V="SI",0,Datos!AJ13)</f>
        <v>118</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-0.10158013544018059</v>
      </c>
      <c r="E16" s="348">
        <f>IF(ISNUMBER(
   IF(D_I="SI",(Datos!J16-Datos!T16)/Datos!T16,(Datos!J16+Datos!AD16-(Datos!T16+Datos!AL16))/(Datos!T16+Datos!AL16))
     ),IF(D_I="SI",(Datos!J16-Datos!T16)/Datos!T16,(Datos!J16+Datos!AD16-(Datos!T16+Datos!AL16))/(Datos!T16+Datos!AL16))," - ")</f>
        <v>1.9037546271813855E-2</v>
      </c>
      <c r="F16" s="348">
        <f>IF(ISNUMBER(
   IF(D_I="SI",(Datos!K16-Datos!U16)/Datos!U16,(Datos!K16+Datos!AE16-(Datos!U16+Datos!AM16))/(Datos!U16+Datos!AM16))
     ),IF(D_I="SI",(Datos!K16-Datos!U16)/Datos!U16,(Datos!K16+Datos!AE16-(Datos!U16+Datos!AM16))/(Datos!U16+Datos!AM16))," - ")</f>
        <v>-2.0214943705220062E-2</v>
      </c>
      <c r="G16" s="349">
        <f>IF(ISNUMBER(
   IF(D_I="SI",(Datos!L16-Datos!V16)/Datos!V16,(Datos!L16+Datos!AF16-(Datos!V16+Datos!AN16))/(Datos!V16+Datos!AN16))
     ),IF(D_I="SI",(Datos!L16-Datos!V16)/Datos!V16,(Datos!L16+Datos!AF16-(Datos!V16+Datos!AN16))/(Datos!V16+Datos!AN16))," - ")</f>
        <v>2.7638190954773871E-2</v>
      </c>
      <c r="H16" s="230">
        <f>IF(ISNUMBER((Datos!M16-Datos!W16)/Datos!W16),(Datos!M16-Datos!W16)/Datos!W16," - ")</f>
        <v>0.15950920245398773</v>
      </c>
      <c r="I16" s="350">
        <f>IF(ISNUMBER((Tasas!C16-Datos!BE16)/Datos!BE16),(Tasas!C16-Datos!BE16)/Datos!BE16," - ")</f>
        <v>4.8840441434122854E-2</v>
      </c>
      <c r="J16" s="349">
        <f>IF(ISNUMBER((Tasas!D16-Datos!BF16)/Datos!BF16),(Tasas!D16-Datos!BF16)/Datos!BF16," - ")</f>
        <v>0.18343221812227339</v>
      </c>
      <c r="K16" s="351">
        <f>IF(ISNUMBER((Tasas!E16-Datos!BG16)/Datos!BG16),(Tasas!E16-Datos!BG16)/Datos!BG16," - ")</f>
        <v>8.0513462965978218E-3</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0.72513089005235598</v>
      </c>
      <c r="E17" s="348">
        <f>IF(ISNUMBER(
   IF(D_I="SI",(Datos!J17-Datos!T17)/Datos!T17,(Datos!J17+Datos!AD17-(Datos!T17+Datos!AL17))/(Datos!T17+Datos!AL17))
     ),IF(D_I="SI",(Datos!J17-Datos!T17)/Datos!T17,(Datos!J17+Datos!AD17-(Datos!T17+Datos!AL17))/(Datos!T17+Datos!AL17))," - ")</f>
        <v>-0.45858498705780848</v>
      </c>
      <c r="F17" s="348">
        <f>IF(ISNUMBER(
   IF(D_I="SI",(Datos!K17-Datos!U17)/Datos!U17,(Datos!K17+Datos!AE17-(Datos!U17+Datos!AM17))/(Datos!U17+Datos!AM17))
     ),IF(D_I="SI",(Datos!K17-Datos!U17)/Datos!U17,(Datos!K17+Datos!AE17-(Datos!U17+Datos!AM17))/(Datos!U17+Datos!AM17))," - ")</f>
        <v>-0.34884860362567371</v>
      </c>
      <c r="G17" s="349">
        <f>IF(ISNUMBER(
   IF(D_I="SI",(Datos!L17-Datos!V17)/Datos!V17,(Datos!L17+Datos!AF17-(Datos!V17+Datos!AN17))/(Datos!V17+Datos!AN17))
     ),IF(D_I="SI",(Datos!L17-Datos!V17)/Datos!V17,(Datos!L17+Datos!AF17-(Datos!V17+Datos!AN17))/(Datos!V17+Datos!AN17))," - ")</f>
        <v>-0.11229135053110774</v>
      </c>
      <c r="H17" s="230">
        <f>IF(ISNUMBER((Datos!M17-Datos!W17)/Datos!W17),(Datos!M17-Datos!W17)/Datos!W17," - ")</f>
        <v>0.2608695652173913</v>
      </c>
      <c r="I17" s="350">
        <f>IF(ISNUMBER((Tasas!C17-Datos!BE17)/Datos!BE17),(Tasas!C17-Datos!BE17)/Datos!BE17," - ")</f>
        <v>0.36329070998194812</v>
      </c>
      <c r="J17" s="349">
        <f>IF(ISNUMBER((Tasas!D17-Datos!BF17)/Datos!BF17),(Tasas!D17-Datos!BF17)/Datos!BF17," - ")</f>
        <v>0.93636928713972611</v>
      </c>
      <c r="K17" s="351">
        <f>IF(ISNUMBER((Tasas!E17-Datos!BG17)/Datos!BG17),(Tasas!E17-Datos!BG17)/Datos!BG17," - ")</f>
        <v>8.8669843658556846E-2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8.2992402104032734E-2</v>
      </c>
      <c r="E18" s="354">
        <f>IF(ISNUMBER(
   IF(D_I="SI",(Datos!J18-Datos!T18)/Datos!T18,(Datos!J18+Datos!AD18-(Datos!T18+Datos!AL18))/(Datos!T18+Datos!AL18))
     ),IF(D_I="SI",(Datos!J18-Datos!T18)/Datos!T18,(Datos!J18+Datos!AD18-(Datos!T18+Datos!AL18))/(Datos!T18+Datos!AL18))," - ")</f>
        <v>-0.16245901639344262</v>
      </c>
      <c r="F18" s="354">
        <f>IF(ISNUMBER(
   IF(D_I="SI",(Datos!K18-Datos!U18)/Datos!U18,(Datos!K18+Datos!AE18-(Datos!U18+Datos!AM18))/(Datos!U18+Datos!AM18))
     ),IF(D_I="SI",(Datos!K18-Datos!U18)/Datos!U18,(Datos!K18+Datos!AE18-(Datos!U18+Datos!AM18))/(Datos!U18+Datos!AM18))," - ")</f>
        <v>-0.13296352328122374</v>
      </c>
      <c r="G18" s="355">
        <f>IF(ISNUMBER(
   IF(D_I="SI",(Datos!L18-Datos!V18)/Datos!V18,(Datos!L18+Datos!AF18-(Datos!V18+Datos!AN18))/(Datos!V18+Datos!AN18))
     ),IF(D_I="SI",(Datos!L18-Datos!V18)/Datos!V18,(Datos!L18+Datos!AF18-(Datos!V18+Datos!AN18))/(Datos!V18+Datos!AN18))," - ")</f>
        <v>-2.2126281705342688E-2</v>
      </c>
      <c r="H18" s="356">
        <f>IF(ISNUMBER((Datos!M18-Datos!W18)/Datos!W18),(Datos!M18-Datos!W18)/Datos!W18," - ")</f>
        <v>0.18722139673105498</v>
      </c>
      <c r="I18" s="357">
        <f>IF(ISNUMBER((Tasas!C18-Datos!BE18)/Datos!BE18),(Tasas!C18-Datos!BE18)/Datos!BE18," - ")</f>
        <v>0.12783457738172072</v>
      </c>
      <c r="J18" s="355">
        <f>IF(ISNUMBER((Tasas!D18-Datos!BF18)/Datos!BF18),(Tasas!D18-Datos!BF18)/Datos!BF18," - ")</f>
        <v>0.36928656245696895</v>
      </c>
      <c r="K18" s="358">
        <f>IF(ISNUMBER((Tasas!E18-Datos!BG18)/Datos!BG18),(Tasas!E18-Datos!BG18)/Datos!BG18," - ")</f>
        <v>2.7992656482250716E-2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0.16670426347845702</v>
      </c>
      <c r="E19" s="363">
        <f>IF(ISNUMBER(
   IF(J_V="SI",(Datos!J19-Datos!T19)/Datos!T19,(Datos!J19+Datos!Z19-(Datos!T19+Datos!AH19))/(Datos!T19+Datos!AH19))
     ),IF(J_V="SI",(Datos!J19-Datos!T19)/Datos!T19,(Datos!J19+Datos!Z19-(Datos!T19+Datos!AH19))/(Datos!T19+Datos!AH19))," - ")</f>
        <v>-0.11247443762781185</v>
      </c>
      <c r="F19" s="363">
        <f>IF(ISNUMBER(
   IF(J_V="SI",(Datos!K19-Datos!U19)/Datos!U19,(Datos!K19+Datos!AA19-(Datos!U19+Datos!AI19))/(Datos!U19+Datos!AI19))
     ),IF(J_V="SI",(Datos!K19-Datos!U19)/Datos!U19,(Datos!K19+Datos!AA19-(Datos!U19+Datos!AI19))/(Datos!U19+Datos!AI19))," - ")</f>
        <v>-9.3006186431791968E-2</v>
      </c>
      <c r="G19" s="364">
        <f>IF(ISNUMBER(
   IF(J_V="SI",(Datos!L19-Datos!V19)/Datos!V19,(Datos!L19+Datos!AB19-(Datos!V19+Datos!AJ19))/(Datos!V19+Datos!AJ19))
     ),IF(J_V="SI",(Datos!L19-Datos!V19)/Datos!V19,(Datos!L19+Datos!AB19-(Datos!V19+Datos!AJ19))/(Datos!V19+Datos!AJ19))," - ")</f>
        <v>9.7834493426140756E-2</v>
      </c>
      <c r="H19" s="365">
        <f>IF(ISNUMBER((Datos!M19-Datos!W19)/Datos!W19),(Datos!M19-Datos!W19)/Datos!W19," - ")</f>
        <v>0.13581129378127232</v>
      </c>
      <c r="I19" s="362">
        <f>IF(ISNUMBER((Tasas!C19-Datos!BE19)/Datos!BE19),(Tasas!C19-Datos!BE19)/Datos!BE19," - ")</f>
        <v>0.21041012298324893</v>
      </c>
      <c r="J19" s="363">
        <f>IF(ISNUMBER((Tasas!D19-Datos!BF19)/Datos!BF19),(Tasas!D19-Datos!BF19)/Datos!BF19," - ")</f>
        <v>-0.21402360373116333</v>
      </c>
      <c r="K19" s="364">
        <f>IF(ISNUMBER((Tasas!E19-Datos!BG19)/Datos!BG19),(Tasas!E19-Datos!BG19)/Datos!BG19," - ")</f>
        <v>7.1346370239431078E-2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0.38877575192746433</v>
      </c>
      <c r="E21" s="278">
        <f t="shared" si="1"/>
        <v>0.20258733013099553</v>
      </c>
      <c r="F21" s="278">
        <f t="shared" si="1"/>
        <v>0.2826649983632985</v>
      </c>
      <c r="G21" s="279">
        <f t="shared" si="1"/>
        <v>8.2031919576638107E-2</v>
      </c>
      <c r="H21" s="285">
        <f t="shared" si="1"/>
        <v>9.3277004092148896E-2</v>
      </c>
      <c r="I21" s="277">
        <f t="shared" si="1"/>
        <v>0.24906374871795994</v>
      </c>
      <c r="J21" s="278">
        <f t="shared" si="1"/>
        <v>0.54775834096072629</v>
      </c>
      <c r="K21" s="279">
        <f t="shared" si="1"/>
        <v>0.10430604910008358</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28 feb.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T52roao9w+Ig7SE3bNGHQkajOnI/pNZ5H1TfQWlFR60wu57dF+HKy5s228XZXjtnywseOsnQpuDnvZZktj0s4A==" saltValue="3IBBskUuMYRUOjPCfq9j+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2025-02-28T09:42:24Z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